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05" windowWidth="15195" windowHeight="8670" activeTab="0"/>
  </bookViews>
  <sheets>
    <sheet name="Intro" sheetId="1" r:id="rId1"/>
    <sheet name="MAIN" sheetId="2" r:id="rId2"/>
    <sheet name="PLOT" sheetId="3" r:id="rId3"/>
    <sheet name="Graphs" sheetId="4" r:id="rId4"/>
    <sheet name="OUTPUT_PAR" sheetId="5" r:id="rId5"/>
    <sheet name="Help" sheetId="6" r:id="rId6"/>
    <sheet name="CALS" sheetId="7" state="hidden" r:id="rId7"/>
    <sheet name="PlotTable" sheetId="8" state="hidden" r:id="rId8"/>
  </sheets>
  <definedNames/>
  <calcPr fullCalcOnLoad="1"/>
</workbook>
</file>

<file path=xl/sharedStrings.xml><?xml version="1.0" encoding="utf-8"?>
<sst xmlns="http://schemas.openxmlformats.org/spreadsheetml/2006/main" count="126" uniqueCount="121">
  <si>
    <t>Pile geometry</t>
  </si>
  <si>
    <t>Load</t>
  </si>
  <si>
    <t>Layer</t>
  </si>
  <si>
    <t>H (m)</t>
  </si>
  <si>
    <t>Soil layers</t>
  </si>
  <si>
    <t>Output</t>
  </si>
  <si>
    <t>Lp (m)</t>
  </si>
  <si>
    <t>N</t>
  </si>
  <si>
    <t>B (m)</t>
  </si>
  <si>
    <r>
      <t>N</t>
    </r>
    <r>
      <rPr>
        <vertAlign val="subscript"/>
        <sz val="10"/>
        <rFont val="Arial"/>
        <family val="2"/>
      </rPr>
      <t>L</t>
    </r>
  </si>
  <si>
    <r>
      <t>N</t>
    </r>
    <r>
      <rPr>
        <vertAlign val="subscript"/>
        <sz val="10"/>
        <rFont val="Arial"/>
        <family val="2"/>
      </rPr>
      <t>B</t>
    </r>
  </si>
  <si>
    <r>
      <t>g</t>
    </r>
    <r>
      <rPr>
        <vertAlign val="subscript"/>
        <sz val="10"/>
        <rFont val="Arial"/>
        <family val="2"/>
      </rPr>
      <t>r_ini</t>
    </r>
  </si>
  <si>
    <r>
      <t>r</t>
    </r>
    <r>
      <rPr>
        <vertAlign val="subscript"/>
        <sz val="10"/>
        <rFont val="Arial"/>
        <family val="2"/>
      </rPr>
      <t>p</t>
    </r>
  </si>
  <si>
    <r>
      <t>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</si>
  <si>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</t>
    </r>
    <r>
      <rPr>
        <vertAlign val="subscript"/>
        <sz val="10"/>
        <rFont val="Arial"/>
        <family val="2"/>
      </rPr>
      <t>r_NEW</t>
    </r>
  </si>
  <si>
    <r>
      <t>E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</si>
  <si>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t>Ep (Pa)</t>
  </si>
  <si>
    <t>Qt (N)</t>
  </si>
  <si>
    <r>
      <t>n</t>
    </r>
    <r>
      <rPr>
        <b/>
        <vertAlign val="subscript"/>
        <sz val="10"/>
        <rFont val="Arial"/>
        <family val="2"/>
      </rPr>
      <t>s</t>
    </r>
  </si>
  <si>
    <r>
      <t>G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</si>
  <si>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r>
      <t>l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</si>
  <si>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r>
      <t>M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(Pa)</t>
    </r>
  </si>
  <si>
    <t>k (Pa)</t>
  </si>
  <si>
    <t>t (N)</t>
  </si>
  <si>
    <t>E (Pa)</t>
  </si>
  <si>
    <t>a (N/m)</t>
  </si>
  <si>
    <r>
      <t>n</t>
    </r>
    <r>
      <rPr>
        <b/>
        <vertAlign val="subscript"/>
        <sz val="10"/>
        <rFont val="Arial"/>
        <family val="2"/>
      </rPr>
      <t>si</t>
    </r>
    <r>
      <rPr>
        <b/>
        <sz val="10"/>
        <rFont val="Arial"/>
        <family val="2"/>
      </rPr>
      <t xml:space="preserve"> (kN/m)</t>
    </r>
  </si>
  <si>
    <r>
      <t>m</t>
    </r>
    <r>
      <rPr>
        <b/>
        <vertAlign val="subscript"/>
        <sz val="10"/>
        <rFont val="Arial"/>
        <family val="2"/>
      </rPr>
      <t xml:space="preserve">si </t>
    </r>
    <r>
      <rPr>
        <b/>
        <sz val="10"/>
        <rFont val="Arial"/>
        <family val="2"/>
      </rPr>
      <t>(kNm)</t>
    </r>
  </si>
  <si>
    <t>Area</t>
  </si>
  <si>
    <t>M21</t>
  </si>
  <si>
    <r>
      <t>M</t>
    </r>
    <r>
      <rPr>
        <b/>
        <vertAlign val="subscript"/>
        <sz val="10"/>
        <rFont val="Arial"/>
        <family val="2"/>
      </rPr>
      <t>2i</t>
    </r>
  </si>
  <si>
    <r>
      <t>M</t>
    </r>
    <r>
      <rPr>
        <b/>
        <vertAlign val="subscript"/>
        <sz val="10"/>
        <rFont val="Arial"/>
        <family val="2"/>
      </rPr>
      <t>2i-1</t>
    </r>
  </si>
  <si>
    <t>idx (2i-1)</t>
  </si>
  <si>
    <t>idx (2i)</t>
  </si>
  <si>
    <t>M11</t>
  </si>
  <si>
    <t>M12</t>
  </si>
  <si>
    <t>M22</t>
  </si>
  <si>
    <r>
      <t>B</t>
    </r>
    <r>
      <rPr>
        <b/>
        <vertAlign val="subscript"/>
        <sz val="10"/>
        <rFont val="Arial"/>
        <family val="2"/>
      </rPr>
      <t>i</t>
    </r>
  </si>
  <si>
    <r>
      <t>C</t>
    </r>
    <r>
      <rPr>
        <b/>
        <vertAlign val="subscript"/>
        <sz val="10"/>
        <rFont val="Arial"/>
        <family val="2"/>
      </rPr>
      <t>i</t>
    </r>
  </si>
  <si>
    <t>ShrMod_OP</t>
  </si>
  <si>
    <t>SUM =</t>
  </si>
  <si>
    <r>
      <t>g</t>
    </r>
    <r>
      <rPr>
        <vertAlign val="subscript"/>
        <sz val="10"/>
        <rFont val="Arial"/>
        <family val="2"/>
      </rPr>
      <t>r_error</t>
    </r>
  </si>
  <si>
    <t>z</t>
  </si>
  <si>
    <r>
      <t>D</t>
    </r>
    <r>
      <rPr>
        <sz val="10"/>
        <rFont val="Arial"/>
        <family val="2"/>
      </rPr>
      <t>z</t>
    </r>
  </si>
  <si>
    <t>NB</t>
  </si>
  <si>
    <t>NL</t>
  </si>
  <si>
    <r>
      <t>N_</t>
    </r>
    <r>
      <rPr>
        <sz val="10"/>
        <rFont val="Symbol"/>
        <family val="1"/>
      </rPr>
      <t>D</t>
    </r>
    <r>
      <rPr>
        <sz val="10"/>
        <rFont val="Arial"/>
        <family val="2"/>
      </rPr>
      <t>z</t>
    </r>
  </si>
  <si>
    <r>
      <t>N_</t>
    </r>
    <r>
      <rPr>
        <sz val="10"/>
        <rFont val="Symbol"/>
        <family val="1"/>
      </rPr>
      <t>D</t>
    </r>
    <r>
      <rPr>
        <sz val="10"/>
        <rFont val="Arial"/>
        <family val="2"/>
      </rPr>
      <t>r</t>
    </r>
  </si>
  <si>
    <r>
      <t>D</t>
    </r>
    <r>
      <rPr>
        <sz val="10"/>
        <rFont val="Arial"/>
        <family val="2"/>
      </rPr>
      <t>r</t>
    </r>
  </si>
  <si>
    <r>
      <t>a</t>
    </r>
    <r>
      <rPr>
        <vertAlign val="subscript"/>
        <sz val="10"/>
        <rFont val="Arial"/>
        <family val="2"/>
      </rPr>
      <t>i</t>
    </r>
  </si>
  <si>
    <r>
      <t>B</t>
    </r>
    <r>
      <rPr>
        <vertAlign val="subscript"/>
        <sz val="10"/>
        <rFont val="Arial"/>
        <family val="2"/>
      </rPr>
      <t>i</t>
    </r>
  </si>
  <si>
    <r>
      <t>C</t>
    </r>
    <r>
      <rPr>
        <vertAlign val="subscript"/>
        <sz val="10"/>
        <rFont val="Arial"/>
        <family val="2"/>
      </rPr>
      <t>i</t>
    </r>
  </si>
  <si>
    <t>z (m)</t>
  </si>
  <si>
    <t>Q(z) (kN)</t>
  </si>
  <si>
    <t>r(m)</t>
  </si>
  <si>
    <t>phi(r)</t>
  </si>
  <si>
    <t>uz(r,z=0)</t>
  </si>
  <si>
    <t>uz(r,z=Lp)</t>
  </si>
  <si>
    <t>idx</t>
  </si>
  <si>
    <r>
      <t>D</t>
    </r>
    <r>
      <rPr>
        <sz val="10"/>
        <rFont val="Arial"/>
        <family val="2"/>
      </rPr>
      <t>r_ratio</t>
    </r>
  </si>
  <si>
    <t>Qb (kN)</t>
  </si>
  <si>
    <t>wt (mm)</t>
  </si>
  <si>
    <t>wb (mm)</t>
  </si>
  <si>
    <t>pile geom.</t>
  </si>
  <si>
    <t>r</t>
  </si>
  <si>
    <t>Lp</t>
  </si>
  <si>
    <t>z_ini</t>
  </si>
  <si>
    <t>r_ini</t>
  </si>
  <si>
    <t>z_final</t>
  </si>
  <si>
    <t>r_final</t>
  </si>
  <si>
    <t>uz(r,z=0)</t>
  </si>
  <si>
    <t>config</t>
  </si>
  <si>
    <t>plot scale factor</t>
  </si>
  <si>
    <t>Layer Info</t>
  </si>
  <si>
    <t>Developed by Hoyoung Seo</t>
  </si>
  <si>
    <t>Advisor: Prof. Monica Prezzi</t>
  </si>
  <si>
    <t>Ver 1.0</t>
  </si>
  <si>
    <t>ALPAXL</t>
  </si>
  <si>
    <t>Circular pile</t>
  </si>
  <si>
    <r>
      <t>Pile diameter B</t>
    </r>
    <r>
      <rPr>
        <b/>
        <i/>
        <vertAlign val="subscript"/>
        <sz val="10"/>
        <rFont val="Arial"/>
        <family val="2"/>
      </rPr>
      <t>r</t>
    </r>
    <r>
      <rPr>
        <b/>
        <i/>
        <sz val="10"/>
        <rFont val="Arial"/>
        <family val="2"/>
      </rPr>
      <t xml:space="preserve"> (m)</t>
    </r>
  </si>
  <si>
    <r>
      <t>Pile length L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 xml:space="preserve"> (m)</t>
    </r>
  </si>
  <si>
    <r>
      <t>Young's modulus of
the pile E</t>
    </r>
    <r>
      <rPr>
        <b/>
        <i/>
        <vertAlign val="subscript"/>
        <sz val="10"/>
        <rFont val="Arial"/>
        <family val="2"/>
      </rPr>
      <t>p</t>
    </r>
    <r>
      <rPr>
        <b/>
        <i/>
        <sz val="10"/>
        <rFont val="Arial"/>
        <family val="2"/>
      </rPr>
      <t xml:space="preserve"> (GPa)</t>
    </r>
  </si>
  <si>
    <t>Number of soil layers
within the pile</t>
  </si>
  <si>
    <t>Number of soil layers
below the pile base</t>
  </si>
  <si>
    <r>
      <t>Load at the 
pile head Q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2"/>
      </rPr>
      <t xml:space="preserve"> (kN)</t>
    </r>
  </si>
  <si>
    <r>
      <t>Head settlement
w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2"/>
      </rPr>
      <t xml:space="preserve"> (mm)</t>
    </r>
  </si>
  <si>
    <r>
      <t>Base settlement
w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2"/>
      </rPr>
      <t xml:space="preserve"> (mm)</t>
    </r>
  </si>
  <si>
    <r>
      <t>Base load
Q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2"/>
      </rPr>
      <t xml:space="preserve"> (kN)</t>
    </r>
  </si>
  <si>
    <r>
      <t>g</t>
    </r>
    <r>
      <rPr>
        <b/>
        <i/>
        <vertAlign val="subscript"/>
        <sz val="10"/>
        <rFont val="Arial"/>
        <family val="2"/>
      </rPr>
      <t>r</t>
    </r>
  </si>
  <si>
    <r>
      <t xml:space="preserve">z </t>
    </r>
    <r>
      <rPr>
        <b/>
        <sz val="10"/>
        <rFont val="Arial"/>
        <family val="2"/>
      </rPr>
      <t>(m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</si>
  <si>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z</t>
    </r>
    <r>
      <rPr>
        <vertAlign val="subscript"/>
        <sz val="10"/>
        <rFont val="Arial"/>
        <family val="2"/>
      </rPr>
      <t>i</t>
    </r>
  </si>
  <si>
    <t>Layer</t>
  </si>
  <si>
    <r>
      <t>H</t>
    </r>
    <r>
      <rPr>
        <i/>
        <vertAlign val="subscript"/>
        <sz val="10"/>
        <rFont val="Arial"/>
        <family val="2"/>
      </rPr>
      <t xml:space="preserve">i </t>
    </r>
    <r>
      <rPr>
        <i/>
        <sz val="10"/>
        <rFont val="Arial"/>
        <family val="2"/>
      </rPr>
      <t>(m)</t>
    </r>
  </si>
  <si>
    <r>
      <t>g</t>
    </r>
    <r>
      <rPr>
        <i/>
        <vertAlign val="subscript"/>
        <sz val="10"/>
        <rFont val="Arial"/>
        <family val="2"/>
      </rPr>
      <t>r</t>
    </r>
  </si>
  <si>
    <r>
      <t>k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(Pa)</t>
    </r>
  </si>
  <si>
    <r>
      <t>t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(N)</t>
    </r>
  </si>
  <si>
    <r>
      <t>z</t>
    </r>
    <r>
      <rPr>
        <i/>
        <vertAlign val="subscript"/>
        <sz val="10"/>
        <rFont val="Arial"/>
        <family val="2"/>
      </rPr>
      <t>i (</t>
    </r>
    <r>
      <rPr>
        <i/>
        <sz val="10"/>
        <rFont val="Arial"/>
        <family val="2"/>
      </rPr>
      <t>m</t>
    </r>
    <r>
      <rPr>
        <i/>
        <vertAlign val="superscript"/>
        <sz val="10"/>
        <rFont val="Arial"/>
        <family val="2"/>
      </rPr>
      <t>-1</t>
    </r>
    <r>
      <rPr>
        <i/>
        <vertAlign val="subscript"/>
        <sz val="10"/>
        <rFont val="Arial"/>
        <family val="2"/>
      </rPr>
      <t>)</t>
    </r>
  </si>
  <si>
    <r>
      <t>a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(N/m)</t>
    </r>
  </si>
  <si>
    <r>
      <t>B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(m)</t>
    </r>
  </si>
  <si>
    <r>
      <t>C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(m)</t>
    </r>
  </si>
  <si>
    <r>
      <t>m</t>
    </r>
    <r>
      <rPr>
        <i/>
        <vertAlign val="subscript"/>
        <sz val="10"/>
        <rFont val="Arial"/>
        <family val="2"/>
      </rPr>
      <t xml:space="preserve">si </t>
    </r>
    <r>
      <rPr>
        <i/>
        <sz val="10"/>
        <rFont val="Arial"/>
        <family val="2"/>
      </rPr>
      <t>(Nm)</t>
    </r>
  </si>
  <si>
    <r>
      <t>n</t>
    </r>
    <r>
      <rPr>
        <i/>
        <vertAlign val="subscript"/>
        <sz val="10"/>
        <rFont val="Arial"/>
        <family val="2"/>
      </rPr>
      <t>si</t>
    </r>
    <r>
      <rPr>
        <i/>
        <sz val="10"/>
        <rFont val="Arial"/>
        <family val="2"/>
      </rPr>
      <t xml:space="preserve"> (N/m)</t>
    </r>
  </si>
  <si>
    <t>u(z) (mm)</t>
  </si>
  <si>
    <t>iterations</t>
  </si>
  <si>
    <t>Layer i</t>
  </si>
  <si>
    <r>
      <t>Depth to the 
layer H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2"/>
      </rPr>
      <t xml:space="preserve"> (m)</t>
    </r>
  </si>
  <si>
    <r>
      <t>Young's modulus
of the soil E</t>
    </r>
    <r>
      <rPr>
        <b/>
        <i/>
        <vertAlign val="subscript"/>
        <sz val="10"/>
        <rFont val="Arial"/>
        <family val="2"/>
      </rPr>
      <t>si</t>
    </r>
    <r>
      <rPr>
        <b/>
        <i/>
        <sz val="10"/>
        <rFont val="Arial"/>
        <family val="2"/>
      </rPr>
      <t xml:space="preserve"> (MPa)</t>
    </r>
  </si>
  <si>
    <r>
      <t xml:space="preserve">Poisson's ratio
of the soil </t>
    </r>
    <r>
      <rPr>
        <b/>
        <i/>
        <sz val="10"/>
        <rFont val="Symbol"/>
        <family val="1"/>
      </rPr>
      <t>n</t>
    </r>
    <r>
      <rPr>
        <b/>
        <i/>
        <vertAlign val="subscript"/>
        <sz val="10"/>
        <rFont val="Arial"/>
        <family val="2"/>
      </rPr>
      <t>si</t>
    </r>
  </si>
  <si>
    <t>3. Restart Microsoft Excel.</t>
  </si>
  <si>
    <r>
      <t xml:space="preserve">1. On the </t>
    </r>
    <r>
      <rPr>
        <b/>
        <sz val="12"/>
        <rFont val="Times New Roman"/>
        <family val="1"/>
      </rPr>
      <t>Tools</t>
    </r>
    <r>
      <rPr>
        <sz val="12"/>
        <rFont val="Times New Roman"/>
        <family val="1"/>
      </rPr>
      <t xml:space="preserve"> menu, click </t>
    </r>
    <r>
      <rPr>
        <b/>
        <sz val="12"/>
        <rFont val="Times New Roman"/>
        <family val="1"/>
      </rPr>
      <t>Add-Ins</t>
    </r>
    <r>
      <rPr>
        <sz val="12"/>
        <rFont val="Times New Roman"/>
        <family val="1"/>
      </rPr>
      <t xml:space="preserve">. </t>
    </r>
  </si>
  <si>
    <r>
      <t xml:space="preserve">2. In the </t>
    </r>
    <r>
      <rPr>
        <b/>
        <sz val="12"/>
        <rFont val="Times New Roman"/>
        <family val="1"/>
      </rPr>
      <t>Add-Ins available</t>
    </r>
    <r>
      <rPr>
        <sz val="12"/>
        <rFont val="Times New Roman"/>
        <family val="1"/>
      </rPr>
      <t xml:space="preserve"> list, select the </t>
    </r>
    <r>
      <rPr>
        <b/>
        <sz val="12"/>
        <rFont val="Times New Roman"/>
        <family val="1"/>
      </rPr>
      <t>Analysis ToolPak</t>
    </r>
    <r>
      <rPr>
        <sz val="12"/>
        <rFont val="Times New Roman"/>
        <family val="1"/>
      </rPr>
      <t xml:space="preserve"> box, and then click </t>
    </r>
    <r>
      <rPr>
        <b/>
        <sz val="12"/>
        <rFont val="Times New Roman"/>
        <family val="1"/>
      </rPr>
      <t>OK</t>
    </r>
    <r>
      <rPr>
        <sz val="12"/>
        <rFont val="Times New Roman"/>
        <family val="1"/>
      </rPr>
      <t xml:space="preserve">. </t>
    </r>
  </si>
  <si>
    <t>Soil displacement was magnified by</t>
  </si>
  <si>
    <t>times</t>
  </si>
  <si>
    <t>for a better view.</t>
  </si>
  <si>
    <t>Q-w curve</t>
  </si>
  <si>
    <t>w</t>
  </si>
  <si>
    <t>Q</t>
  </si>
  <si>
    <t>Soil properties</t>
  </si>
  <si>
    <t>Axially loaded pile analysis tool</t>
  </si>
  <si>
    <r>
      <t>If ALPAXL</t>
    </r>
    <r>
      <rPr>
        <vertAlign val="superscript"/>
        <sz val="12"/>
        <color indexed="10"/>
        <rFont val="Times New Roman"/>
        <family val="1"/>
      </rPr>
      <t>Ver 1.0</t>
    </r>
    <r>
      <rPr>
        <sz val="12"/>
        <color indexed="10"/>
        <rFont val="Times New Roman"/>
        <family val="1"/>
      </rPr>
      <t xml:space="preserve"> does not work properly, please check whether the Analysis TookPak add-in is intalled.</t>
    </r>
  </si>
  <si>
    <t>The installation procedures of the Analysis ToolPak are as follows: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</si>
</sst>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_ "/>
    <numFmt numFmtId="173" formatCode="0.0000_ "/>
    <numFmt numFmtId="174" formatCode="0.000_ "/>
    <numFmt numFmtId="175" formatCode="0.00_ "/>
    <numFmt numFmtId="176" formatCode="0.0_ "/>
    <numFmt numFmtId="177" formatCode="0_ "/>
    <numFmt numFmtId="178" formatCode="0.000E+00"/>
    <numFmt numFmtId="179" formatCode="0.0000000_ "/>
    <numFmt numFmtId="180" formatCode="0.000000_ "/>
    <numFmt numFmtId="181" formatCode="0.00000000_ "/>
  </numFmts>
  <fonts count="71">
    <font>
      <sz val="10"/>
      <name val="Arial"/>
      <family val="2"/>
    </font>
    <font>
      <sz val="8"/>
      <name val="돋움"/>
      <family val="3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i/>
      <sz val="12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9"/>
      <name val="Arial"/>
      <family val="2"/>
    </font>
    <font>
      <b/>
      <vertAlign val="superscript"/>
      <sz val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24"/>
      <color indexed="6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i/>
      <sz val="14"/>
      <name val="Times New Roman"/>
      <family val="1"/>
    </font>
    <font>
      <b/>
      <sz val="12"/>
      <color indexed="48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Symbol"/>
      <family val="1"/>
    </font>
    <font>
      <i/>
      <vertAlign val="superscript"/>
      <sz val="10"/>
      <name val="Arial"/>
      <family val="2"/>
    </font>
    <font>
      <i/>
      <sz val="9"/>
      <name val="Arial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vertAlign val="superscript"/>
      <sz val="12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2"/>
      <name val="Arial"/>
      <family val="2"/>
    </font>
    <font>
      <i/>
      <sz val="8"/>
      <color indexed="48"/>
      <name val="Arial"/>
      <family val="2"/>
    </font>
    <font>
      <b/>
      <sz val="10"/>
      <color indexed="8"/>
      <name val="Arial"/>
      <family val="0"/>
    </font>
    <font>
      <b/>
      <sz val="9.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8" fontId="0" fillId="33" borderId="10" xfId="0" applyNumberForma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48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177" fontId="11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9" fillId="33" borderId="0" xfId="52" applyFont="1" applyFill="1" applyAlignment="1" applyProtection="1">
      <alignment vertical="center"/>
      <protection/>
    </xf>
    <xf numFmtId="0" fontId="8" fillId="33" borderId="0" xfId="0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left" vertical="top"/>
    </xf>
    <xf numFmtId="0" fontId="20" fillId="33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1" fontId="0" fillId="33" borderId="0" xfId="0" applyNumberFormat="1" applyFill="1" applyAlignment="1">
      <alignment horizontal="center" vertical="center"/>
    </xf>
    <xf numFmtId="11" fontId="0" fillId="33" borderId="11" xfId="0" applyNumberFormat="1" applyFill="1" applyBorder="1" applyAlignment="1">
      <alignment horizontal="center" vertical="center"/>
    </xf>
    <xf numFmtId="172" fontId="0" fillId="33" borderId="0" xfId="0" applyNumberFormat="1" applyFill="1" applyAlignment="1">
      <alignment horizontal="center" vertical="center"/>
    </xf>
    <xf numFmtId="172" fontId="0" fillId="33" borderId="11" xfId="0" applyNumberForma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32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11025"/>
          <c:w val="0.9275"/>
          <c:h val="0.86925"/>
        </c:manualLayout>
      </c:layout>
      <c:scatterChart>
        <c:scatterStyle val="smoothMarker"/>
        <c:varyColors val="0"/>
        <c:ser>
          <c:idx val="0"/>
          <c:order val="0"/>
          <c:tx>
            <c:v>soil displacement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0.10107500000000001</c:v>
                </c:pt>
                <c:pt idx="1">
                  <c:v>0.102230625</c:v>
                </c:pt>
                <c:pt idx="2">
                  <c:v>0.10347292187500001</c:v>
                </c:pt>
                <c:pt idx="3">
                  <c:v>0.10480839101562502</c:v>
                </c:pt>
                <c:pt idx="4">
                  <c:v>0.10624402034179689</c:v>
                </c:pt>
                <c:pt idx="5">
                  <c:v>0.10778732186743166</c:v>
                </c:pt>
                <c:pt idx="6">
                  <c:v>0.10944637100748904</c:v>
                </c:pt>
                <c:pt idx="7">
                  <c:v>0.11122984883305072</c:v>
                </c:pt>
                <c:pt idx="8">
                  <c:v>0.11314708749552951</c:v>
                </c:pt>
                <c:pt idx="9">
                  <c:v>0.11520811905769422</c:v>
                </c:pt>
                <c:pt idx="10">
                  <c:v>0.11742372798702129</c:v>
                </c:pt>
                <c:pt idx="11">
                  <c:v>0.11980550758604788</c:v>
                </c:pt>
                <c:pt idx="12">
                  <c:v>0.12236592065500147</c:v>
                </c:pt>
                <c:pt idx="13">
                  <c:v>0.12511836470412657</c:v>
                </c:pt>
                <c:pt idx="14">
                  <c:v>0.12807724205693607</c:v>
                </c:pt>
                <c:pt idx="15">
                  <c:v>0.13125803521120627</c:v>
                </c:pt>
                <c:pt idx="16">
                  <c:v>0.13467738785204675</c:v>
                </c:pt>
                <c:pt idx="17">
                  <c:v>0.13835319194095025</c:v>
                </c:pt>
                <c:pt idx="18">
                  <c:v>0.14230468133652152</c:v>
                </c:pt>
                <c:pt idx="19">
                  <c:v>0.14655253243676064</c:v>
                </c:pt>
                <c:pt idx="20">
                  <c:v>0.15111897236951768</c:v>
                </c:pt>
                <c:pt idx="21">
                  <c:v>0.15602789529723152</c:v>
                </c:pt>
                <c:pt idx="22">
                  <c:v>0.16130498744452387</c:v>
                </c:pt>
                <c:pt idx="23">
                  <c:v>0.16697786150286315</c:v>
                </c:pt>
                <c:pt idx="24">
                  <c:v>0.17307620111557787</c:v>
                </c:pt>
                <c:pt idx="25">
                  <c:v>0.1796319161992462</c:v>
                </c:pt>
                <c:pt idx="26">
                  <c:v>0.18667930991418966</c:v>
                </c:pt>
                <c:pt idx="27">
                  <c:v>0.19425525815775388</c:v>
                </c:pt>
                <c:pt idx="28">
                  <c:v>0.2023994025195854</c:v>
                </c:pt>
                <c:pt idx="29">
                  <c:v>0.2111543577085543</c:v>
                </c:pt>
                <c:pt idx="30">
                  <c:v>0.22056593453669587</c:v>
                </c:pt>
                <c:pt idx="31">
                  <c:v>0.23068337962694807</c:v>
                </c:pt>
                <c:pt idx="32">
                  <c:v>0.24155963309896916</c:v>
                </c:pt>
                <c:pt idx="33">
                  <c:v>0.25325160558139187</c:v>
                </c:pt>
                <c:pt idx="34">
                  <c:v>0.26582047599999625</c:v>
                </c:pt>
                <c:pt idx="35">
                  <c:v>0.27933201169999594</c:v>
                </c:pt>
                <c:pt idx="36">
                  <c:v>0.29385691257749563</c:v>
                </c:pt>
                <c:pt idx="37">
                  <c:v>0.3094711810208078</c:v>
                </c:pt>
                <c:pt idx="38">
                  <c:v>0.32625651959736834</c:v>
                </c:pt>
                <c:pt idx="39">
                  <c:v>0.34430075856717096</c:v>
                </c:pt>
                <c:pt idx="40">
                  <c:v>0.36369831545970877</c:v>
                </c:pt>
                <c:pt idx="41">
                  <c:v>0.38455068911918694</c:v>
                </c:pt>
                <c:pt idx="42">
                  <c:v>0.4069669908031259</c:v>
                </c:pt>
                <c:pt idx="43">
                  <c:v>0.43106451511336036</c:v>
                </c:pt>
                <c:pt idx="44">
                  <c:v>0.4569693537468624</c:v>
                </c:pt>
                <c:pt idx="45">
                  <c:v>0.48481705527787705</c:v>
                </c:pt>
                <c:pt idx="46">
                  <c:v>0.5147533344237178</c:v>
                </c:pt>
                <c:pt idx="47">
                  <c:v>0.5469348345054966</c:v>
                </c:pt>
                <c:pt idx="48">
                  <c:v>0.5815299470934089</c:v>
                </c:pt>
                <c:pt idx="49">
                  <c:v>0.6187196931254145</c:v>
                </c:pt>
                <c:pt idx="50">
                  <c:v>0.6586986701098206</c:v>
                </c:pt>
                <c:pt idx="51">
                  <c:v>0.7016760703680571</c:v>
                </c:pt>
                <c:pt idx="52">
                  <c:v>0.7478767756456615</c:v>
                </c:pt>
                <c:pt idx="53">
                  <c:v>0.797542533819086</c:v>
                </c:pt>
                <c:pt idx="54">
                  <c:v>0.8509332238555175</c:v>
                </c:pt>
                <c:pt idx="55">
                  <c:v>0.9083282156446812</c:v>
                </c:pt>
                <c:pt idx="56">
                  <c:v>0.9700278318180323</c:v>
                </c:pt>
                <c:pt idx="57">
                  <c:v>1.0363549192043846</c:v>
                </c:pt>
                <c:pt idx="58">
                  <c:v>1.1076565381447134</c:v>
                </c:pt>
                <c:pt idx="59">
                  <c:v>1.1843057785055668</c:v>
                </c:pt>
                <c:pt idx="60">
                  <c:v>1.2667037118934843</c:v>
                </c:pt>
                <c:pt idx="61">
                  <c:v>1.3552814902854955</c:v>
                </c:pt>
                <c:pt idx="62">
                  <c:v>1.4505026020569076</c:v>
                </c:pt>
                <c:pt idx="63">
                  <c:v>1.5528652972111756</c:v>
                </c:pt>
                <c:pt idx="64">
                  <c:v>1.6629051945020137</c:v>
                </c:pt>
                <c:pt idx="65">
                  <c:v>1.7811980840896646</c:v>
                </c:pt>
                <c:pt idx="66">
                  <c:v>1.9083629403963895</c:v>
                </c:pt>
                <c:pt idx="67">
                  <c:v>2.045065160926119</c:v>
                </c:pt>
                <c:pt idx="68">
                  <c:v>2.1920200479955776</c:v>
                </c:pt>
                <c:pt idx="69">
                  <c:v>2.349996551595246</c:v>
                </c:pt>
                <c:pt idx="70">
                  <c:v>2.5198212929648895</c:v>
                </c:pt>
                <c:pt idx="71">
                  <c:v>2.7023828899372564</c:v>
                </c:pt>
                <c:pt idx="72">
                  <c:v>2.8986366066825506</c:v>
                </c:pt>
                <c:pt idx="73">
                  <c:v>3.109609352183742</c:v>
                </c:pt>
                <c:pt idx="74">
                  <c:v>3.3364050535975225</c:v>
                </c:pt>
                <c:pt idx="75">
                  <c:v>3.5802104326173367</c:v>
                </c:pt>
                <c:pt idx="76">
                  <c:v>3.842301215063637</c:v>
                </c:pt>
                <c:pt idx="77">
                  <c:v>4.12404880619341</c:v>
                </c:pt>
                <c:pt idx="78">
                  <c:v>4.426927466657916</c:v>
                </c:pt>
                <c:pt idx="79">
                  <c:v>4.752522026657259</c:v>
                </c:pt>
                <c:pt idx="80">
                  <c:v>5.102536178656553</c:v>
                </c:pt>
                <c:pt idx="81">
                  <c:v>5.478801392055795</c:v>
                </c:pt>
                <c:pt idx="82">
                  <c:v>5.883286496459979</c:v>
                </c:pt>
                <c:pt idx="83">
                  <c:v>6.318107983694477</c:v>
                </c:pt>
                <c:pt idx="84">
                  <c:v>6.785541082471563</c:v>
                </c:pt>
                <c:pt idx="85">
                  <c:v>7.2880316636569304</c:v>
                </c:pt>
                <c:pt idx="86">
                  <c:v>7.8282090384312</c:v>
                </c:pt>
                <c:pt idx="87">
                  <c:v>8.40889971631354</c:v>
                </c:pt>
                <c:pt idx="88">
                  <c:v>9.033142195037055</c:v>
                </c:pt>
                <c:pt idx="89">
                  <c:v>9.704202859664834</c:v>
                </c:pt>
                <c:pt idx="90">
                  <c:v>10.425593074139696</c:v>
                </c:pt>
                <c:pt idx="91">
                  <c:v>11.201087554700173</c:v>
                </c:pt>
                <c:pt idx="92">
                  <c:v>12.034744121302685</c:v>
                </c:pt>
                <c:pt idx="93">
                  <c:v>12.930924930400387</c:v>
                </c:pt>
                <c:pt idx="94">
                  <c:v>13.894319300180415</c:v>
                </c:pt>
                <c:pt idx="95">
                  <c:v>14.929968247693946</c:v>
                </c:pt>
                <c:pt idx="96">
                  <c:v>16.04329086627099</c:v>
                </c:pt>
                <c:pt idx="97">
                  <c:v>17.240112681241314</c:v>
                </c:pt>
                <c:pt idx="98">
                  <c:v>18.52669613233441</c:v>
                </c:pt>
              </c:numCache>
            </c:numRef>
          </c:xVal>
          <c:yVal>
            <c:numRef>
              <c:f>PlotTable!$S$7:$S$105</c:f>
              <c:numCache>
                <c:ptCount val="99"/>
                <c:pt idx="0">
                  <c:v>0.7204200341096946</c:v>
                </c:pt>
                <c:pt idx="1">
                  <c:v>0.7183169719641065</c:v>
                </c:pt>
                <c:pt idx="2">
                  <c:v>0.7160825864633374</c:v>
                </c:pt>
                <c:pt idx="3">
                  <c:v>0.7137104092726633</c:v>
                </c:pt>
                <c:pt idx="4">
                  <c:v>0.7111938697928646</c:v>
                </c:pt>
                <c:pt idx="5">
                  <c:v>0.7085263212765562</c:v>
                </c:pt>
                <c:pt idx="6">
                  <c:v>0.705701070139773</c:v>
                </c:pt>
                <c:pt idx="7">
                  <c:v>0.7027114084276629</c:v>
                </c:pt>
                <c:pt idx="8">
                  <c:v>0.6995506493268684</c:v>
                </c:pt>
                <c:pt idx="9">
                  <c:v>0.6962121655441735</c:v>
                </c:pt>
                <c:pt idx="10">
                  <c:v>0.6926894302927951</c:v>
                </c:pt>
                <c:pt idx="11">
                  <c:v>0.688976060546169</c:v>
                </c:pt>
                <c:pt idx="12">
                  <c:v>0.685065862136698</c:v>
                </c:pt>
                <c:pt idx="13">
                  <c:v>0.6809528761964925</c:v>
                </c:pt>
                <c:pt idx="14">
                  <c:v>0.6766314263618585</c:v>
                </c:pt>
                <c:pt idx="15">
                  <c:v>0.672096166096612</c:v>
                </c:pt>
                <c:pt idx="16">
                  <c:v>0.6673421254346767</c:v>
                </c:pt>
                <c:pt idx="17">
                  <c:v>0.6623647564032806</c:v>
                </c:pt>
                <c:pt idx="18">
                  <c:v>0.657159976367436</c:v>
                </c:pt>
                <c:pt idx="19">
                  <c:v>0.6517242085367952</c:v>
                </c:pt>
                <c:pt idx="20">
                  <c:v>0.646054418899203</c:v>
                </c:pt>
                <c:pt idx="21">
                  <c:v>0.6401481488921708</c:v>
                </c:pt>
                <c:pt idx="22">
                  <c:v>0.6340035431938741</c:v>
                </c:pt>
                <c:pt idx="23">
                  <c:v>0.627619372107833</c:v>
                </c:pt>
                <c:pt idx="24">
                  <c:v>0.6209950481277102</c:v>
                </c:pt>
                <c:pt idx="25">
                  <c:v>0.6141306363971939</c:v>
                </c:pt>
                <c:pt idx="26">
                  <c:v>0.6070268589203779</c:v>
                </c:pt>
                <c:pt idx="27">
                  <c:v>0.5996850925253687</c:v>
                </c:pt>
                <c:pt idx="28">
                  <c:v>0.5921073607326807</c:v>
                </c:pt>
                <c:pt idx="29">
                  <c:v>0.5842963198248335</c:v>
                </c:pt>
                <c:pt idx="30">
                  <c:v>0.5762552395492441</c:v>
                </c:pt>
                <c:pt idx="31">
                  <c:v>0.567987979008282</c:v>
                </c:pt>
                <c:pt idx="32">
                  <c:v>0.5594989583943646</c:v>
                </c:pt>
                <c:pt idx="33">
                  <c:v>0.5507931273112133</c:v>
                </c:pt>
                <c:pt idx="34">
                  <c:v>0.5418759304830673</c:v>
                </c:pt>
                <c:pt idx="35">
                  <c:v>0.5327532716909599</c:v>
                </c:pt>
                <c:pt idx="36">
                  <c:v>0.5234314767894849</c:v>
                </c:pt>
                <c:pt idx="37">
                  <c:v>0.51391725665007</c:v>
                </c:pt>
                <c:pt idx="38">
                  <c:v>0.5042176708497519</c:v>
                </c:pt>
                <c:pt idx="39">
                  <c:v>0.4943400928805092</c:v>
                </c:pt>
                <c:pt idx="40">
                  <c:v>0.48429217759641546</c:v>
                </c:pt>
                <c:pt idx="41">
                  <c:v>0.47408183154749606</c:v>
                </c:pt>
                <c:pt idx="42">
                  <c:v>0.46371718677338525</c:v>
                </c:pt>
                <c:pt idx="43">
                  <c:v>0.45320657854968055</c:v>
                </c:pt>
                <c:pt idx="44">
                  <c:v>0.442558527497887</c:v>
                </c:pt>
                <c:pt idx="45">
                  <c:v>0.4317817263881619</c:v>
                </c:pt>
                <c:pt idx="46">
                  <c:v>0.4208850318843226</c:v>
                </c:pt>
                <c:pt idx="47">
                  <c:v>0.4098774614037426</c:v>
                </c:pt>
                <c:pt idx="48">
                  <c:v>0.39876819519128537</c:v>
                </c:pt>
                <c:pt idx="49">
                  <c:v>0.3875665836361299</c:v>
                </c:pt>
                <c:pt idx="50">
                  <c:v>0.3762821597925728</c:v>
                </c:pt>
                <c:pt idx="51">
                  <c:v>0.3649246569994843</c:v>
                </c:pt>
                <c:pt idx="52">
                  <c:v>0.3535040314264774</c:v>
                </c:pt>
                <c:pt idx="53">
                  <c:v>0.34203048930612406</c:v>
                </c:pt>
                <c:pt idx="54">
                  <c:v>0.3305145185385187</c:v>
                </c:pt>
                <c:pt idx="55">
                  <c:v>0.31896692427479134</c:v>
                </c:pt>
                <c:pt idx="56">
                  <c:v>0.30739886799731986</c:v>
                </c:pt>
                <c:pt idx="57">
                  <c:v>0.2958219095138851</c:v>
                </c:pt>
                <c:pt idx="58">
                  <c:v>0.28424805116846613</c:v>
                </c:pt>
                <c:pt idx="59">
                  <c:v>0.27268978344059214</c:v>
                </c:pt>
                <c:pt idx="60">
                  <c:v>0.26116013095636975</c:v>
                </c:pt>
                <c:pt idx="61">
                  <c:v>0.24967269776621875</c:v>
                </c:pt>
                <c:pt idx="62">
                  <c:v>0.23824171055654902</c:v>
                </c:pt>
                <c:pt idx="63">
                  <c:v>0.22688205825566735</c:v>
                </c:pt>
                <c:pt idx="64">
                  <c:v>0.21560932627010693</c:v>
                </c:pt>
                <c:pt idx="65">
                  <c:v>0.20443982335002922</c:v>
                </c:pt>
                <c:pt idx="66">
                  <c:v>0.1933905988372528</c:v>
                </c:pt>
                <c:pt idx="67">
                  <c:v>0.18247944780532124</c:v>
                </c:pt>
                <c:pt idx="68">
                  <c:v>0.171724901369446</c:v>
                </c:pt>
                <c:pt idx="69">
                  <c:v>0.1611461992403433</c:v>
                </c:pt>
                <c:pt idx="70">
                  <c:v>0.15076324143910236</c:v>
                </c:pt>
                <c:pt idx="71">
                  <c:v>0.14059651600374207</c:v>
                </c:pt>
                <c:pt idx="72">
                  <c:v>0.13066699952989325</c:v>
                </c:pt>
                <c:pt idx="73">
                  <c:v>0.12099602753008991</c:v>
                </c:pt>
                <c:pt idx="74">
                  <c:v>0.11160513190399841</c:v>
                </c:pt>
                <c:pt idx="75">
                  <c:v>0.10251584332331612</c:v>
                </c:pt>
                <c:pt idx="76">
                  <c:v>0.09374945708801441</c:v>
                </c:pt>
                <c:pt idx="77">
                  <c:v>0.0853267620403084</c:v>
                </c:pt>
                <c:pt idx="78">
                  <c:v>0.07726773345758912</c:v>
                </c:pt>
                <c:pt idx="79">
                  <c:v>0.06959119250181285</c:v>
                </c:pt>
                <c:pt idx="80">
                  <c:v>0.06231443677810884</c:v>
                </c:pt>
                <c:pt idx="81">
                  <c:v>0.055452848820979964</c:v>
                </c:pt>
                <c:pt idx="82">
                  <c:v>0.049019491819413646</c:v>
                </c:pt>
                <c:pt idx="83">
                  <c:v>0.04302470450815326</c:v>
                </c:pt>
                <c:pt idx="84">
                  <c:v>0.03747570974395033</c:v>
                </c:pt>
                <c:pt idx="85">
                  <c:v>0.03237625367743828</c:v>
                </c:pt>
                <c:pt idx="86">
                  <c:v>0.027726294481352408</c:v>
                </c:pt>
                <c:pt idx="87">
                  <c:v>0.023521761382296422</c:v>
                </c:pt>
                <c:pt idx="88">
                  <c:v>0.01975440307407068</c:v>
                </c:pt>
                <c:pt idx="89">
                  <c:v>0.016411751240518645</c:v>
                </c:pt>
                <c:pt idx="90">
                  <c:v>0.013477192029946423</c:v>
                </c:pt>
                <c:pt idx="91">
                  <c:v>0.010930194008835757</c:v>
                </c:pt>
                <c:pt idx="92">
                  <c:v>0.008746671288514883</c:v>
                </c:pt>
                <c:pt idx="93">
                  <c:v>0.006899484473848397</c:v>
                </c:pt>
                <c:pt idx="94">
                  <c:v>0.005359070078674936</c:v>
                </c:pt>
                <c:pt idx="95">
                  <c:v>0.004094175480340079</c:v>
                </c:pt>
                <c:pt idx="96">
                  <c:v>0.0030726674174893958</c:v>
                </c:pt>
                <c:pt idx="97">
                  <c:v>0.002262374007851852</c:v>
                </c:pt>
                <c:pt idx="98">
                  <c:v>0.0016319146446018653</c:v>
                </c:pt>
              </c:numCache>
            </c:numRef>
          </c:yVal>
          <c:smooth val="1"/>
        </c:ser>
        <c:ser>
          <c:idx val="1"/>
          <c:order val="1"/>
          <c:tx>
            <c:v>At the pile base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0.10107500000000001</c:v>
                </c:pt>
                <c:pt idx="1">
                  <c:v>0.102230625</c:v>
                </c:pt>
                <c:pt idx="2">
                  <c:v>0.10347292187500001</c:v>
                </c:pt>
                <c:pt idx="3">
                  <c:v>0.10480839101562502</c:v>
                </c:pt>
                <c:pt idx="4">
                  <c:v>0.10624402034179689</c:v>
                </c:pt>
                <c:pt idx="5">
                  <c:v>0.10778732186743166</c:v>
                </c:pt>
                <c:pt idx="6">
                  <c:v>0.10944637100748904</c:v>
                </c:pt>
                <c:pt idx="7">
                  <c:v>0.11122984883305072</c:v>
                </c:pt>
                <c:pt idx="8">
                  <c:v>0.11314708749552951</c:v>
                </c:pt>
                <c:pt idx="9">
                  <c:v>0.11520811905769422</c:v>
                </c:pt>
                <c:pt idx="10">
                  <c:v>0.11742372798702129</c:v>
                </c:pt>
                <c:pt idx="11">
                  <c:v>0.11980550758604788</c:v>
                </c:pt>
                <c:pt idx="12">
                  <c:v>0.12236592065500147</c:v>
                </c:pt>
                <c:pt idx="13">
                  <c:v>0.12511836470412657</c:v>
                </c:pt>
                <c:pt idx="14">
                  <c:v>0.12807724205693607</c:v>
                </c:pt>
                <c:pt idx="15">
                  <c:v>0.13125803521120627</c:v>
                </c:pt>
                <c:pt idx="16">
                  <c:v>0.13467738785204675</c:v>
                </c:pt>
                <c:pt idx="17">
                  <c:v>0.13835319194095025</c:v>
                </c:pt>
                <c:pt idx="18">
                  <c:v>0.14230468133652152</c:v>
                </c:pt>
                <c:pt idx="19">
                  <c:v>0.14655253243676064</c:v>
                </c:pt>
                <c:pt idx="20">
                  <c:v>0.15111897236951768</c:v>
                </c:pt>
                <c:pt idx="21">
                  <c:v>0.15602789529723152</c:v>
                </c:pt>
                <c:pt idx="22">
                  <c:v>0.16130498744452387</c:v>
                </c:pt>
                <c:pt idx="23">
                  <c:v>0.16697786150286315</c:v>
                </c:pt>
                <c:pt idx="24">
                  <c:v>0.17307620111557787</c:v>
                </c:pt>
                <c:pt idx="25">
                  <c:v>0.1796319161992462</c:v>
                </c:pt>
                <c:pt idx="26">
                  <c:v>0.18667930991418966</c:v>
                </c:pt>
                <c:pt idx="27">
                  <c:v>0.19425525815775388</c:v>
                </c:pt>
                <c:pt idx="28">
                  <c:v>0.2023994025195854</c:v>
                </c:pt>
                <c:pt idx="29">
                  <c:v>0.2111543577085543</c:v>
                </c:pt>
                <c:pt idx="30">
                  <c:v>0.22056593453669587</c:v>
                </c:pt>
                <c:pt idx="31">
                  <c:v>0.23068337962694807</c:v>
                </c:pt>
                <c:pt idx="32">
                  <c:v>0.24155963309896916</c:v>
                </c:pt>
                <c:pt idx="33">
                  <c:v>0.25325160558139187</c:v>
                </c:pt>
                <c:pt idx="34">
                  <c:v>0.26582047599999625</c:v>
                </c:pt>
                <c:pt idx="35">
                  <c:v>0.27933201169999594</c:v>
                </c:pt>
                <c:pt idx="36">
                  <c:v>0.29385691257749563</c:v>
                </c:pt>
                <c:pt idx="37">
                  <c:v>0.3094711810208078</c:v>
                </c:pt>
                <c:pt idx="38">
                  <c:v>0.32625651959736834</c:v>
                </c:pt>
                <c:pt idx="39">
                  <c:v>0.34430075856717096</c:v>
                </c:pt>
                <c:pt idx="40">
                  <c:v>0.36369831545970877</c:v>
                </c:pt>
                <c:pt idx="41">
                  <c:v>0.38455068911918694</c:v>
                </c:pt>
                <c:pt idx="42">
                  <c:v>0.4069669908031259</c:v>
                </c:pt>
                <c:pt idx="43">
                  <c:v>0.43106451511336036</c:v>
                </c:pt>
                <c:pt idx="44">
                  <c:v>0.4569693537468624</c:v>
                </c:pt>
                <c:pt idx="45">
                  <c:v>0.48481705527787705</c:v>
                </c:pt>
                <c:pt idx="46">
                  <c:v>0.5147533344237178</c:v>
                </c:pt>
                <c:pt idx="47">
                  <c:v>0.5469348345054966</c:v>
                </c:pt>
                <c:pt idx="48">
                  <c:v>0.5815299470934089</c:v>
                </c:pt>
                <c:pt idx="49">
                  <c:v>0.6187196931254145</c:v>
                </c:pt>
                <c:pt idx="50">
                  <c:v>0.6586986701098206</c:v>
                </c:pt>
                <c:pt idx="51">
                  <c:v>0.7016760703680571</c:v>
                </c:pt>
                <c:pt idx="52">
                  <c:v>0.7478767756456615</c:v>
                </c:pt>
                <c:pt idx="53">
                  <c:v>0.797542533819086</c:v>
                </c:pt>
                <c:pt idx="54">
                  <c:v>0.8509332238555175</c:v>
                </c:pt>
                <c:pt idx="55">
                  <c:v>0.9083282156446812</c:v>
                </c:pt>
                <c:pt idx="56">
                  <c:v>0.9700278318180323</c:v>
                </c:pt>
                <c:pt idx="57">
                  <c:v>1.0363549192043846</c:v>
                </c:pt>
                <c:pt idx="58">
                  <c:v>1.1076565381447134</c:v>
                </c:pt>
                <c:pt idx="59">
                  <c:v>1.1843057785055668</c:v>
                </c:pt>
                <c:pt idx="60">
                  <c:v>1.2667037118934843</c:v>
                </c:pt>
                <c:pt idx="61">
                  <c:v>1.3552814902854955</c:v>
                </c:pt>
                <c:pt idx="62">
                  <c:v>1.4505026020569076</c:v>
                </c:pt>
                <c:pt idx="63">
                  <c:v>1.5528652972111756</c:v>
                </c:pt>
                <c:pt idx="64">
                  <c:v>1.6629051945020137</c:v>
                </c:pt>
                <c:pt idx="65">
                  <c:v>1.7811980840896646</c:v>
                </c:pt>
                <c:pt idx="66">
                  <c:v>1.9083629403963895</c:v>
                </c:pt>
                <c:pt idx="67">
                  <c:v>2.045065160926119</c:v>
                </c:pt>
                <c:pt idx="68">
                  <c:v>2.1920200479955776</c:v>
                </c:pt>
                <c:pt idx="69">
                  <c:v>2.349996551595246</c:v>
                </c:pt>
                <c:pt idx="70">
                  <c:v>2.5198212929648895</c:v>
                </c:pt>
                <c:pt idx="71">
                  <c:v>2.7023828899372564</c:v>
                </c:pt>
                <c:pt idx="72">
                  <c:v>2.8986366066825506</c:v>
                </c:pt>
                <c:pt idx="73">
                  <c:v>3.109609352183742</c:v>
                </c:pt>
                <c:pt idx="74">
                  <c:v>3.3364050535975225</c:v>
                </c:pt>
                <c:pt idx="75">
                  <c:v>3.5802104326173367</c:v>
                </c:pt>
                <c:pt idx="76">
                  <c:v>3.842301215063637</c:v>
                </c:pt>
                <c:pt idx="77">
                  <c:v>4.12404880619341</c:v>
                </c:pt>
                <c:pt idx="78">
                  <c:v>4.426927466657916</c:v>
                </c:pt>
                <c:pt idx="79">
                  <c:v>4.752522026657259</c:v>
                </c:pt>
                <c:pt idx="80">
                  <c:v>5.102536178656553</c:v>
                </c:pt>
                <c:pt idx="81">
                  <c:v>5.478801392055795</c:v>
                </c:pt>
                <c:pt idx="82">
                  <c:v>5.883286496459979</c:v>
                </c:pt>
                <c:pt idx="83">
                  <c:v>6.318107983694477</c:v>
                </c:pt>
                <c:pt idx="84">
                  <c:v>6.785541082471563</c:v>
                </c:pt>
                <c:pt idx="85">
                  <c:v>7.2880316636569304</c:v>
                </c:pt>
                <c:pt idx="86">
                  <c:v>7.8282090384312</c:v>
                </c:pt>
                <c:pt idx="87">
                  <c:v>8.40889971631354</c:v>
                </c:pt>
                <c:pt idx="88">
                  <c:v>9.033142195037055</c:v>
                </c:pt>
                <c:pt idx="89">
                  <c:v>9.704202859664834</c:v>
                </c:pt>
                <c:pt idx="90">
                  <c:v>10.425593074139696</c:v>
                </c:pt>
                <c:pt idx="91">
                  <c:v>11.201087554700173</c:v>
                </c:pt>
                <c:pt idx="92">
                  <c:v>12.034744121302685</c:v>
                </c:pt>
                <c:pt idx="93">
                  <c:v>12.930924930400387</c:v>
                </c:pt>
                <c:pt idx="94">
                  <c:v>13.894319300180415</c:v>
                </c:pt>
                <c:pt idx="95">
                  <c:v>14.929968247693946</c:v>
                </c:pt>
                <c:pt idx="96">
                  <c:v>16.04329086627099</c:v>
                </c:pt>
                <c:pt idx="97">
                  <c:v>17.240112681241314</c:v>
                </c:pt>
                <c:pt idx="98">
                  <c:v>18.52669613233441</c:v>
                </c:pt>
              </c:numCache>
            </c:numRef>
          </c:xVal>
          <c:yVal>
            <c:numRef>
              <c:f>PlotTable!$T$7:$T$105</c:f>
              <c:numCache>
                <c:ptCount val="99"/>
                <c:pt idx="0">
                  <c:v>19.026183656279738</c:v>
                </c:pt>
                <c:pt idx="1">
                  <c:v>19.02610722051484</c:v>
                </c:pt>
                <c:pt idx="2">
                  <c:v>19.026026011804394</c:v>
                </c:pt>
                <c:pt idx="3">
                  <c:v>19.025939795056868</c:v>
                </c:pt>
                <c:pt idx="4">
                  <c:v>19.025848331463916</c:v>
                </c:pt>
                <c:pt idx="5">
                  <c:v>19.0257513794496</c:v>
                </c:pt>
                <c:pt idx="6">
                  <c:v>19.0256486957357</c:v>
                </c:pt>
                <c:pt idx="7">
                  <c:v>19.025540036521694</c:v>
                </c:pt>
                <c:pt idx="8">
                  <c:v>19.025425158775434</c:v>
                </c:pt>
                <c:pt idx="9">
                  <c:v>19.025303821628043</c:v>
                </c:pt>
                <c:pt idx="10">
                  <c:v>19.025175787863546</c:v>
                </c:pt>
                <c:pt idx="11">
                  <c:v>19.025040825490926</c:v>
                </c:pt>
                <c:pt idx="12">
                  <c:v>19.02489870938325</c:v>
                </c:pt>
                <c:pt idx="13">
                  <c:v>19.024749222965546</c:v>
                </c:pt>
                <c:pt idx="14">
                  <c:v>19.024592159930453</c:v>
                </c:pt>
                <c:pt idx="15">
                  <c:v>19.024427325958182</c:v>
                </c:pt>
                <c:pt idx="16">
                  <c:v>19.02425454041539</c:v>
                </c:pt>
                <c:pt idx="17">
                  <c:v>19.02407363800607</c:v>
                </c:pt>
                <c:pt idx="18">
                  <c:v>19.0238844703469</c:v>
                </c:pt>
                <c:pt idx="19">
                  <c:v>19.02368690743949</c:v>
                </c:pt>
                <c:pt idx="20">
                  <c:v>19.023480839012713</c:v>
                </c:pt>
                <c:pt idx="21">
                  <c:v>19.02326617571014</c:v>
                </c:pt>
                <c:pt idx="22">
                  <c:v>19.023042850100136</c:v>
                </c:pt>
                <c:pt idx="23">
                  <c:v>19.02281081748939</c:v>
                </c:pt>
                <c:pt idx="24">
                  <c:v>19.022570056524994</c:v>
                </c:pt>
                <c:pt idx="25">
                  <c:v>19.0223205695746</c:v>
                </c:pt>
                <c:pt idx="26">
                  <c:v>19.02206238287943</c:v>
                </c:pt>
                <c:pt idx="27">
                  <c:v>19.021795546480288</c:v>
                </c:pt>
                <c:pt idx="28">
                  <c:v>19.021520133921992</c:v>
                </c:pt>
                <c:pt idx="29">
                  <c:v>19.021236241747104</c:v>
                </c:pt>
                <c:pt idx="30">
                  <c:v>19.02094398879454</c:v>
                </c:pt>
                <c:pt idx="31">
                  <c:v>19.02064351532333</c:v>
                </c:pt>
                <c:pt idx="32">
                  <c:v>19.0203349819853</c:v>
                </c:pt>
                <c:pt idx="33">
                  <c:v>19.020018568673734</c:v>
                </c:pt>
                <c:pt idx="34">
                  <c:v>19.01969447327706</c:v>
                </c:pt>
                <c:pt idx="35">
                  <c:v>19.019362910368116</c:v>
                </c:pt>
                <c:pt idx="36">
                  <c:v>19.019024109860005</c:v>
                </c:pt>
                <c:pt idx="37">
                  <c:v>19.018678315659255</c:v>
                </c:pt>
                <c:pt idx="38">
                  <c:v>19.018325784346093</c:v>
                </c:pt>
                <c:pt idx="39">
                  <c:v>19.01796678390999</c:v>
                </c:pt>
                <c:pt idx="40">
                  <c:v>19.01760159256651</c:v>
                </c:pt>
                <c:pt idx="41">
                  <c:v>19.017230497679105</c:v>
                </c:pt>
                <c:pt idx="42">
                  <c:v>19.016853794806647</c:v>
                </c:pt>
                <c:pt idx="43">
                  <c:v>19.01647178689461</c:v>
                </c:pt>
                <c:pt idx="44">
                  <c:v>19.016084783624866</c:v>
                </c:pt>
                <c:pt idx="45">
                  <c:v>19.015693100936026</c:v>
                </c:pt>
                <c:pt idx="46">
                  <c:v>19.015297060723423</c:v>
                </c:pt>
                <c:pt idx="47">
                  <c:v>19.01489699072496</c:v>
                </c:pt>
                <c:pt idx="48">
                  <c:v>19.014493224596514</c:v>
                </c:pt>
                <c:pt idx="49">
                  <c:v>19.014086102177853</c:v>
                </c:pt>
                <c:pt idx="50">
                  <c:v>19.013675969947702</c:v>
                </c:pt>
                <c:pt idx="51">
                  <c:v>19.01326318166413</c:v>
                </c:pt>
                <c:pt idx="52">
                  <c:v>19.012848099183987</c:v>
                </c:pt>
                <c:pt idx="53">
                  <c:v>19.012431093452655</c:v>
                </c:pt>
                <c:pt idx="54">
                  <c:v>19.01201254565272</c:v>
                </c:pt>
                <c:pt idx="55">
                  <c:v>19.011592848497248</c:v>
                </c:pt>
                <c:pt idx="56">
                  <c:v>19.011172407650168</c:v>
                </c:pt>
                <c:pt idx="57">
                  <c:v>19.010751643252537</c:v>
                </c:pt>
                <c:pt idx="58">
                  <c:v>19.010330991529376</c:v>
                </c:pt>
                <c:pt idx="59">
                  <c:v>19.009910906446997</c:v>
                </c:pt>
                <c:pt idx="60">
                  <c:v>19.00949186138526</c:v>
                </c:pt>
                <c:pt idx="61">
                  <c:v>19.009074350783184</c:v>
                </c:pt>
                <c:pt idx="62">
                  <c:v>19.008658891709498</c:v>
                </c:pt>
                <c:pt idx="63">
                  <c:v>19.008246025302096</c:v>
                </c:pt>
                <c:pt idx="64">
                  <c:v>19.007836318012366</c:v>
                </c:pt>
                <c:pt idx="65">
                  <c:v>19.007430362581605</c:v>
                </c:pt>
                <c:pt idx="66">
                  <c:v>19.007028778667912</c:v>
                </c:pt>
                <c:pt idx="67">
                  <c:v>19.006632213032994</c:v>
                </c:pt>
                <c:pt idx="68">
                  <c:v>19.006241339189973</c:v>
                </c:pt>
                <c:pt idx="69">
                  <c:v>19.005856856405874</c:v>
                </c:pt>
                <c:pt idx="70">
                  <c:v>19.005479487946694</c:v>
                </c:pt>
                <c:pt idx="71">
                  <c:v>19.00510997844989</c:v>
                </c:pt>
                <c:pt idx="72">
                  <c:v>19.00474909030955</c:v>
                </c:pt>
                <c:pt idx="73">
                  <c:v>19.004397598964577</c:v>
                </c:pt>
                <c:pt idx="74">
                  <c:v>19.004056286991574</c:v>
                </c:pt>
                <c:pt idx="75">
                  <c:v>19.00372593692251</c:v>
                </c:pt>
                <c:pt idx="76">
                  <c:v>19.00340732273477</c:v>
                </c:pt>
                <c:pt idx="77">
                  <c:v>19.003101199998536</c:v>
                </c:pt>
                <c:pt idx="78">
                  <c:v>19.002808294714995</c:v>
                </c:pt>
                <c:pt idx="79">
                  <c:v>19.002529290939023</c:v>
                </c:pt>
                <c:pt idx="80">
                  <c:v>19.00226481735184</c:v>
                </c:pt>
                <c:pt idx="81">
                  <c:v>19.002015433031445</c:v>
                </c:pt>
                <c:pt idx="82">
                  <c:v>19.001781612759274</c:v>
                </c:pt>
                <c:pt idx="83">
                  <c:v>19.001563732296493</c:v>
                </c:pt>
                <c:pt idx="84">
                  <c:v>19.001362054157735</c:v>
                </c:pt>
                <c:pt idx="85">
                  <c:v>19.00117671449679</c:v>
                </c:pt>
                <c:pt idx="86">
                  <c:v>19.001007711793452</c:v>
                </c:pt>
                <c:pt idx="87">
                  <c:v>19.00085489809551</c:v>
                </c:pt>
                <c:pt idx="88">
                  <c:v>19.00071797350936</c:v>
                </c:pt>
                <c:pt idx="89">
                  <c:v>19.00059648487422</c:v>
                </c:pt>
                <c:pt idx="90">
                  <c:v>19.000489828359875</c:v>
                </c:pt>
                <c:pt idx="91">
                  <c:v>19.000397257751654</c:v>
                </c:pt>
                <c:pt idx="92">
                  <c:v>19.00031789764827</c:v>
                </c:pt>
                <c:pt idx="93">
                  <c:v>19.000250761668774</c:v>
                </c:pt>
                <c:pt idx="94">
                  <c:v>19.000194775328662</c:v>
                </c:pt>
                <c:pt idx="95">
                  <c:v>19.0001488027518</c:v>
                </c:pt>
                <c:pt idx="96">
                  <c:v>19.000111676055234</c:v>
                </c:pt>
                <c:pt idx="97">
                  <c:v>19.00008222595235</c:v>
                </c:pt>
                <c:pt idx="98">
                  <c:v>19.00005931191542</c:v>
                </c:pt>
              </c:numCache>
            </c:numRef>
          </c:yVal>
          <c:smooth val="1"/>
        </c:ser>
        <c:ser>
          <c:idx val="2"/>
          <c:order val="2"/>
          <c:tx>
            <c:v>original pile</c:v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PlotTable!$O$5:$O$9</c:f>
              <c:numCache>
                <c:ptCount val="5"/>
                <c:pt idx="0">
                  <c:v>0.1</c:v>
                </c:pt>
                <c:pt idx="1">
                  <c:v>-0.1</c:v>
                </c:pt>
                <c:pt idx="2">
                  <c:v>-0.1</c:v>
                </c:pt>
                <c:pt idx="3">
                  <c:v>0.1</c:v>
                </c:pt>
                <c:pt idx="4">
                  <c:v>0.1</c:v>
                </c:pt>
              </c:numCache>
            </c:numRef>
          </c:xVal>
          <c:yVal>
            <c:numRef>
              <c:f>PlotTable!$N$5:$N$9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19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deformed pile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PlotTable!$Q$5:$Q$9</c:f>
              <c:numCache>
                <c:ptCount val="5"/>
                <c:pt idx="0">
                  <c:v>0.1</c:v>
                </c:pt>
                <c:pt idx="1">
                  <c:v>-0.1</c:v>
                </c:pt>
                <c:pt idx="2">
                  <c:v>-0.1</c:v>
                </c:pt>
                <c:pt idx="3">
                  <c:v>0.1</c:v>
                </c:pt>
                <c:pt idx="4">
                  <c:v>0.1</c:v>
                </c:pt>
              </c:numCache>
            </c:numRef>
          </c:xVal>
          <c:yVal>
            <c:numRef>
              <c:f>PlotTable!$P$5:$P$9</c:f>
              <c:numCache>
                <c:ptCount val="5"/>
                <c:pt idx="0">
                  <c:v>0.7223981160317539</c:v>
                </c:pt>
                <c:pt idx="1">
                  <c:v>0.7223981160317539</c:v>
                </c:pt>
                <c:pt idx="2">
                  <c:v>19.026255549640123</c:v>
                </c:pt>
                <c:pt idx="3">
                  <c:v>19.026255549640123</c:v>
                </c:pt>
                <c:pt idx="4">
                  <c:v>0.7223981160317539</c:v>
                </c:pt>
              </c:numCache>
            </c:numRef>
          </c:yVal>
          <c:smooth val="1"/>
        </c:ser>
        <c:ser>
          <c:idx val="4"/>
          <c:order val="4"/>
          <c:tx>
            <c:v>head (- dir.)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PlotTable!$R$7:$R$105</c:f>
              <c:numCache>
                <c:ptCount val="99"/>
                <c:pt idx="0">
                  <c:v>-0.10107500000000001</c:v>
                </c:pt>
                <c:pt idx="1">
                  <c:v>-0.102230625</c:v>
                </c:pt>
                <c:pt idx="2">
                  <c:v>-0.10347292187500001</c:v>
                </c:pt>
                <c:pt idx="3">
                  <c:v>-0.10480839101562502</c:v>
                </c:pt>
                <c:pt idx="4">
                  <c:v>-0.10624402034179689</c:v>
                </c:pt>
                <c:pt idx="5">
                  <c:v>-0.10778732186743166</c:v>
                </c:pt>
                <c:pt idx="6">
                  <c:v>-0.10944637100748904</c:v>
                </c:pt>
                <c:pt idx="7">
                  <c:v>-0.11122984883305072</c:v>
                </c:pt>
                <c:pt idx="8">
                  <c:v>-0.11314708749552951</c:v>
                </c:pt>
                <c:pt idx="9">
                  <c:v>-0.11520811905769422</c:v>
                </c:pt>
                <c:pt idx="10">
                  <c:v>-0.11742372798702129</c:v>
                </c:pt>
                <c:pt idx="11">
                  <c:v>-0.11980550758604788</c:v>
                </c:pt>
                <c:pt idx="12">
                  <c:v>-0.12236592065500147</c:v>
                </c:pt>
                <c:pt idx="13">
                  <c:v>-0.12511836470412657</c:v>
                </c:pt>
                <c:pt idx="14">
                  <c:v>-0.12807724205693607</c:v>
                </c:pt>
                <c:pt idx="15">
                  <c:v>-0.13125803521120627</c:v>
                </c:pt>
                <c:pt idx="16">
                  <c:v>-0.13467738785204675</c:v>
                </c:pt>
                <c:pt idx="17">
                  <c:v>-0.13835319194095025</c:v>
                </c:pt>
                <c:pt idx="18">
                  <c:v>-0.14230468133652152</c:v>
                </c:pt>
                <c:pt idx="19">
                  <c:v>-0.14655253243676064</c:v>
                </c:pt>
                <c:pt idx="20">
                  <c:v>-0.15111897236951768</c:v>
                </c:pt>
                <c:pt idx="21">
                  <c:v>-0.15602789529723152</c:v>
                </c:pt>
                <c:pt idx="22">
                  <c:v>-0.16130498744452387</c:v>
                </c:pt>
                <c:pt idx="23">
                  <c:v>-0.16697786150286315</c:v>
                </c:pt>
                <c:pt idx="24">
                  <c:v>-0.17307620111557787</c:v>
                </c:pt>
                <c:pt idx="25">
                  <c:v>-0.1796319161992462</c:v>
                </c:pt>
                <c:pt idx="26">
                  <c:v>-0.18667930991418966</c:v>
                </c:pt>
                <c:pt idx="27">
                  <c:v>-0.19425525815775388</c:v>
                </c:pt>
                <c:pt idx="28">
                  <c:v>-0.2023994025195854</c:v>
                </c:pt>
                <c:pt idx="29">
                  <c:v>-0.2111543577085543</c:v>
                </c:pt>
                <c:pt idx="30">
                  <c:v>-0.22056593453669587</c:v>
                </c:pt>
                <c:pt idx="31">
                  <c:v>-0.23068337962694807</c:v>
                </c:pt>
                <c:pt idx="32">
                  <c:v>-0.24155963309896916</c:v>
                </c:pt>
                <c:pt idx="33">
                  <c:v>-0.25325160558139187</c:v>
                </c:pt>
                <c:pt idx="34">
                  <c:v>-0.26582047599999625</c:v>
                </c:pt>
                <c:pt idx="35">
                  <c:v>-0.27933201169999594</c:v>
                </c:pt>
                <c:pt idx="36">
                  <c:v>-0.29385691257749563</c:v>
                </c:pt>
                <c:pt idx="37">
                  <c:v>-0.3094711810208078</c:v>
                </c:pt>
                <c:pt idx="38">
                  <c:v>-0.32625651959736834</c:v>
                </c:pt>
                <c:pt idx="39">
                  <c:v>-0.34430075856717096</c:v>
                </c:pt>
                <c:pt idx="40">
                  <c:v>-0.36369831545970877</c:v>
                </c:pt>
                <c:pt idx="41">
                  <c:v>-0.38455068911918694</c:v>
                </c:pt>
                <c:pt idx="42">
                  <c:v>-0.4069669908031259</c:v>
                </c:pt>
                <c:pt idx="43">
                  <c:v>-0.43106451511336036</c:v>
                </c:pt>
                <c:pt idx="44">
                  <c:v>-0.4569693537468624</c:v>
                </c:pt>
                <c:pt idx="45">
                  <c:v>-0.48481705527787705</c:v>
                </c:pt>
                <c:pt idx="46">
                  <c:v>-0.5147533344237178</c:v>
                </c:pt>
                <c:pt idx="47">
                  <c:v>-0.5469348345054966</c:v>
                </c:pt>
                <c:pt idx="48">
                  <c:v>-0.5815299470934089</c:v>
                </c:pt>
                <c:pt idx="49">
                  <c:v>-0.6187196931254145</c:v>
                </c:pt>
                <c:pt idx="50">
                  <c:v>-0.6586986701098206</c:v>
                </c:pt>
                <c:pt idx="51">
                  <c:v>-0.7016760703680571</c:v>
                </c:pt>
                <c:pt idx="52">
                  <c:v>-0.7478767756456615</c:v>
                </c:pt>
                <c:pt idx="53">
                  <c:v>-0.797542533819086</c:v>
                </c:pt>
                <c:pt idx="54">
                  <c:v>-0.8509332238555175</c:v>
                </c:pt>
                <c:pt idx="55">
                  <c:v>-0.9083282156446812</c:v>
                </c:pt>
                <c:pt idx="56">
                  <c:v>-0.9700278318180323</c:v>
                </c:pt>
                <c:pt idx="57">
                  <c:v>-1.0363549192043846</c:v>
                </c:pt>
                <c:pt idx="58">
                  <c:v>-1.1076565381447134</c:v>
                </c:pt>
                <c:pt idx="59">
                  <c:v>-1.1843057785055668</c:v>
                </c:pt>
                <c:pt idx="60">
                  <c:v>-1.2667037118934843</c:v>
                </c:pt>
                <c:pt idx="61">
                  <c:v>-1.3552814902854955</c:v>
                </c:pt>
                <c:pt idx="62">
                  <c:v>-1.4505026020569076</c:v>
                </c:pt>
                <c:pt idx="63">
                  <c:v>-1.5528652972111756</c:v>
                </c:pt>
                <c:pt idx="64">
                  <c:v>-1.6629051945020137</c:v>
                </c:pt>
                <c:pt idx="65">
                  <c:v>-1.7811980840896646</c:v>
                </c:pt>
                <c:pt idx="66">
                  <c:v>-1.9083629403963895</c:v>
                </c:pt>
                <c:pt idx="67">
                  <c:v>-2.045065160926119</c:v>
                </c:pt>
                <c:pt idx="68">
                  <c:v>-2.1920200479955776</c:v>
                </c:pt>
                <c:pt idx="69">
                  <c:v>-2.349996551595246</c:v>
                </c:pt>
                <c:pt idx="70">
                  <c:v>-2.5198212929648895</c:v>
                </c:pt>
                <c:pt idx="71">
                  <c:v>-2.7023828899372564</c:v>
                </c:pt>
                <c:pt idx="72">
                  <c:v>-2.8986366066825506</c:v>
                </c:pt>
                <c:pt idx="73">
                  <c:v>-3.109609352183742</c:v>
                </c:pt>
                <c:pt idx="74">
                  <c:v>-3.3364050535975225</c:v>
                </c:pt>
                <c:pt idx="75">
                  <c:v>-3.5802104326173367</c:v>
                </c:pt>
                <c:pt idx="76">
                  <c:v>-3.842301215063637</c:v>
                </c:pt>
                <c:pt idx="77">
                  <c:v>-4.12404880619341</c:v>
                </c:pt>
                <c:pt idx="78">
                  <c:v>-4.426927466657916</c:v>
                </c:pt>
                <c:pt idx="79">
                  <c:v>-4.752522026657259</c:v>
                </c:pt>
                <c:pt idx="80">
                  <c:v>-5.102536178656553</c:v>
                </c:pt>
                <c:pt idx="81">
                  <c:v>-5.478801392055795</c:v>
                </c:pt>
                <c:pt idx="82">
                  <c:v>-5.883286496459979</c:v>
                </c:pt>
                <c:pt idx="83">
                  <c:v>-6.318107983694477</c:v>
                </c:pt>
                <c:pt idx="84">
                  <c:v>-6.785541082471563</c:v>
                </c:pt>
                <c:pt idx="85">
                  <c:v>-7.2880316636569304</c:v>
                </c:pt>
                <c:pt idx="86">
                  <c:v>-7.8282090384312</c:v>
                </c:pt>
                <c:pt idx="87">
                  <c:v>-8.40889971631354</c:v>
                </c:pt>
                <c:pt idx="88">
                  <c:v>-9.033142195037055</c:v>
                </c:pt>
                <c:pt idx="89">
                  <c:v>-9.704202859664834</c:v>
                </c:pt>
                <c:pt idx="90">
                  <c:v>-10.425593074139696</c:v>
                </c:pt>
                <c:pt idx="91">
                  <c:v>-11.201087554700173</c:v>
                </c:pt>
                <c:pt idx="92">
                  <c:v>-12.034744121302685</c:v>
                </c:pt>
                <c:pt idx="93">
                  <c:v>-12.930924930400387</c:v>
                </c:pt>
                <c:pt idx="94">
                  <c:v>-13.894319300180415</c:v>
                </c:pt>
                <c:pt idx="95">
                  <c:v>-14.929968247693946</c:v>
                </c:pt>
                <c:pt idx="96">
                  <c:v>-16.04329086627099</c:v>
                </c:pt>
                <c:pt idx="97">
                  <c:v>-17.240112681241314</c:v>
                </c:pt>
                <c:pt idx="98">
                  <c:v>-18.52669613233441</c:v>
                </c:pt>
              </c:numCache>
            </c:numRef>
          </c:xVal>
          <c:yVal>
            <c:numRef>
              <c:f>PlotTable!$S$7:$S$105</c:f>
              <c:numCache>
                <c:ptCount val="99"/>
                <c:pt idx="0">
                  <c:v>0.7204200341096946</c:v>
                </c:pt>
                <c:pt idx="1">
                  <c:v>0.7183169719641065</c:v>
                </c:pt>
                <c:pt idx="2">
                  <c:v>0.7160825864633374</c:v>
                </c:pt>
                <c:pt idx="3">
                  <c:v>0.7137104092726633</c:v>
                </c:pt>
                <c:pt idx="4">
                  <c:v>0.7111938697928646</c:v>
                </c:pt>
                <c:pt idx="5">
                  <c:v>0.7085263212765562</c:v>
                </c:pt>
                <c:pt idx="6">
                  <c:v>0.705701070139773</c:v>
                </c:pt>
                <c:pt idx="7">
                  <c:v>0.7027114084276629</c:v>
                </c:pt>
                <c:pt idx="8">
                  <c:v>0.6995506493268684</c:v>
                </c:pt>
                <c:pt idx="9">
                  <c:v>0.6962121655441735</c:v>
                </c:pt>
                <c:pt idx="10">
                  <c:v>0.6926894302927951</c:v>
                </c:pt>
                <c:pt idx="11">
                  <c:v>0.688976060546169</c:v>
                </c:pt>
                <c:pt idx="12">
                  <c:v>0.685065862136698</c:v>
                </c:pt>
                <c:pt idx="13">
                  <c:v>0.6809528761964925</c:v>
                </c:pt>
                <c:pt idx="14">
                  <c:v>0.6766314263618585</c:v>
                </c:pt>
                <c:pt idx="15">
                  <c:v>0.672096166096612</c:v>
                </c:pt>
                <c:pt idx="16">
                  <c:v>0.6673421254346767</c:v>
                </c:pt>
                <c:pt idx="17">
                  <c:v>0.6623647564032806</c:v>
                </c:pt>
                <c:pt idx="18">
                  <c:v>0.657159976367436</c:v>
                </c:pt>
                <c:pt idx="19">
                  <c:v>0.6517242085367952</c:v>
                </c:pt>
                <c:pt idx="20">
                  <c:v>0.646054418899203</c:v>
                </c:pt>
                <c:pt idx="21">
                  <c:v>0.6401481488921708</c:v>
                </c:pt>
                <c:pt idx="22">
                  <c:v>0.6340035431938741</c:v>
                </c:pt>
                <c:pt idx="23">
                  <c:v>0.627619372107833</c:v>
                </c:pt>
                <c:pt idx="24">
                  <c:v>0.6209950481277102</c:v>
                </c:pt>
                <c:pt idx="25">
                  <c:v>0.6141306363971939</c:v>
                </c:pt>
                <c:pt idx="26">
                  <c:v>0.6070268589203779</c:v>
                </c:pt>
                <c:pt idx="27">
                  <c:v>0.5996850925253687</c:v>
                </c:pt>
                <c:pt idx="28">
                  <c:v>0.5921073607326807</c:v>
                </c:pt>
                <c:pt idx="29">
                  <c:v>0.5842963198248335</c:v>
                </c:pt>
                <c:pt idx="30">
                  <c:v>0.5762552395492441</c:v>
                </c:pt>
                <c:pt idx="31">
                  <c:v>0.567987979008282</c:v>
                </c:pt>
                <c:pt idx="32">
                  <c:v>0.5594989583943646</c:v>
                </c:pt>
                <c:pt idx="33">
                  <c:v>0.5507931273112133</c:v>
                </c:pt>
                <c:pt idx="34">
                  <c:v>0.5418759304830673</c:v>
                </c:pt>
                <c:pt idx="35">
                  <c:v>0.5327532716909599</c:v>
                </c:pt>
                <c:pt idx="36">
                  <c:v>0.5234314767894849</c:v>
                </c:pt>
                <c:pt idx="37">
                  <c:v>0.51391725665007</c:v>
                </c:pt>
                <c:pt idx="38">
                  <c:v>0.5042176708497519</c:v>
                </c:pt>
                <c:pt idx="39">
                  <c:v>0.4943400928805092</c:v>
                </c:pt>
                <c:pt idx="40">
                  <c:v>0.48429217759641546</c:v>
                </c:pt>
                <c:pt idx="41">
                  <c:v>0.47408183154749606</c:v>
                </c:pt>
                <c:pt idx="42">
                  <c:v>0.46371718677338525</c:v>
                </c:pt>
                <c:pt idx="43">
                  <c:v>0.45320657854968055</c:v>
                </c:pt>
                <c:pt idx="44">
                  <c:v>0.442558527497887</c:v>
                </c:pt>
                <c:pt idx="45">
                  <c:v>0.4317817263881619</c:v>
                </c:pt>
                <c:pt idx="46">
                  <c:v>0.4208850318843226</c:v>
                </c:pt>
                <c:pt idx="47">
                  <c:v>0.4098774614037426</c:v>
                </c:pt>
                <c:pt idx="48">
                  <c:v>0.39876819519128537</c:v>
                </c:pt>
                <c:pt idx="49">
                  <c:v>0.3875665836361299</c:v>
                </c:pt>
                <c:pt idx="50">
                  <c:v>0.3762821597925728</c:v>
                </c:pt>
                <c:pt idx="51">
                  <c:v>0.3649246569994843</c:v>
                </c:pt>
                <c:pt idx="52">
                  <c:v>0.3535040314264774</c:v>
                </c:pt>
                <c:pt idx="53">
                  <c:v>0.34203048930612406</c:v>
                </c:pt>
                <c:pt idx="54">
                  <c:v>0.3305145185385187</c:v>
                </c:pt>
                <c:pt idx="55">
                  <c:v>0.31896692427479134</c:v>
                </c:pt>
                <c:pt idx="56">
                  <c:v>0.30739886799731986</c:v>
                </c:pt>
                <c:pt idx="57">
                  <c:v>0.2958219095138851</c:v>
                </c:pt>
                <c:pt idx="58">
                  <c:v>0.28424805116846613</c:v>
                </c:pt>
                <c:pt idx="59">
                  <c:v>0.27268978344059214</c:v>
                </c:pt>
                <c:pt idx="60">
                  <c:v>0.26116013095636975</c:v>
                </c:pt>
                <c:pt idx="61">
                  <c:v>0.24967269776621875</c:v>
                </c:pt>
                <c:pt idx="62">
                  <c:v>0.23824171055654902</c:v>
                </c:pt>
                <c:pt idx="63">
                  <c:v>0.22688205825566735</c:v>
                </c:pt>
                <c:pt idx="64">
                  <c:v>0.21560932627010693</c:v>
                </c:pt>
                <c:pt idx="65">
                  <c:v>0.20443982335002922</c:v>
                </c:pt>
                <c:pt idx="66">
                  <c:v>0.1933905988372528</c:v>
                </c:pt>
                <c:pt idx="67">
                  <c:v>0.18247944780532124</c:v>
                </c:pt>
                <c:pt idx="68">
                  <c:v>0.171724901369446</c:v>
                </c:pt>
                <c:pt idx="69">
                  <c:v>0.1611461992403433</c:v>
                </c:pt>
                <c:pt idx="70">
                  <c:v>0.15076324143910236</c:v>
                </c:pt>
                <c:pt idx="71">
                  <c:v>0.14059651600374207</c:v>
                </c:pt>
                <c:pt idx="72">
                  <c:v>0.13066699952989325</c:v>
                </c:pt>
                <c:pt idx="73">
                  <c:v>0.12099602753008991</c:v>
                </c:pt>
                <c:pt idx="74">
                  <c:v>0.11160513190399841</c:v>
                </c:pt>
                <c:pt idx="75">
                  <c:v>0.10251584332331612</c:v>
                </c:pt>
                <c:pt idx="76">
                  <c:v>0.09374945708801441</c:v>
                </c:pt>
                <c:pt idx="77">
                  <c:v>0.0853267620403084</c:v>
                </c:pt>
                <c:pt idx="78">
                  <c:v>0.07726773345758912</c:v>
                </c:pt>
                <c:pt idx="79">
                  <c:v>0.06959119250181285</c:v>
                </c:pt>
                <c:pt idx="80">
                  <c:v>0.06231443677810884</c:v>
                </c:pt>
                <c:pt idx="81">
                  <c:v>0.055452848820979964</c:v>
                </c:pt>
                <c:pt idx="82">
                  <c:v>0.049019491819413646</c:v>
                </c:pt>
                <c:pt idx="83">
                  <c:v>0.04302470450815326</c:v>
                </c:pt>
                <c:pt idx="84">
                  <c:v>0.03747570974395033</c:v>
                </c:pt>
                <c:pt idx="85">
                  <c:v>0.03237625367743828</c:v>
                </c:pt>
                <c:pt idx="86">
                  <c:v>0.027726294481352408</c:v>
                </c:pt>
                <c:pt idx="87">
                  <c:v>0.023521761382296422</c:v>
                </c:pt>
                <c:pt idx="88">
                  <c:v>0.01975440307407068</c:v>
                </c:pt>
                <c:pt idx="89">
                  <c:v>0.016411751240518645</c:v>
                </c:pt>
                <c:pt idx="90">
                  <c:v>0.013477192029946423</c:v>
                </c:pt>
                <c:pt idx="91">
                  <c:v>0.010930194008835757</c:v>
                </c:pt>
                <c:pt idx="92">
                  <c:v>0.008746671288514883</c:v>
                </c:pt>
                <c:pt idx="93">
                  <c:v>0.006899484473848397</c:v>
                </c:pt>
                <c:pt idx="94">
                  <c:v>0.005359070078674936</c:v>
                </c:pt>
                <c:pt idx="95">
                  <c:v>0.004094175480340079</c:v>
                </c:pt>
                <c:pt idx="96">
                  <c:v>0.0030726674174893958</c:v>
                </c:pt>
                <c:pt idx="97">
                  <c:v>0.002262374007851852</c:v>
                </c:pt>
                <c:pt idx="98">
                  <c:v>0.0016319146446018653</c:v>
                </c:pt>
              </c:numCache>
            </c:numRef>
          </c:yVal>
          <c:smooth val="1"/>
        </c:ser>
        <c:ser>
          <c:idx val="5"/>
          <c:order val="5"/>
          <c:tx>
            <c:v>base (-dir.)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PlotTable!$R$7:$R$105</c:f>
              <c:numCache>
                <c:ptCount val="99"/>
                <c:pt idx="0">
                  <c:v>-0.10107500000000001</c:v>
                </c:pt>
                <c:pt idx="1">
                  <c:v>-0.102230625</c:v>
                </c:pt>
                <c:pt idx="2">
                  <c:v>-0.10347292187500001</c:v>
                </c:pt>
                <c:pt idx="3">
                  <c:v>-0.10480839101562502</c:v>
                </c:pt>
                <c:pt idx="4">
                  <c:v>-0.10624402034179689</c:v>
                </c:pt>
                <c:pt idx="5">
                  <c:v>-0.10778732186743166</c:v>
                </c:pt>
                <c:pt idx="6">
                  <c:v>-0.10944637100748904</c:v>
                </c:pt>
                <c:pt idx="7">
                  <c:v>-0.11122984883305072</c:v>
                </c:pt>
                <c:pt idx="8">
                  <c:v>-0.11314708749552951</c:v>
                </c:pt>
                <c:pt idx="9">
                  <c:v>-0.11520811905769422</c:v>
                </c:pt>
                <c:pt idx="10">
                  <c:v>-0.11742372798702129</c:v>
                </c:pt>
                <c:pt idx="11">
                  <c:v>-0.11980550758604788</c:v>
                </c:pt>
                <c:pt idx="12">
                  <c:v>-0.12236592065500147</c:v>
                </c:pt>
                <c:pt idx="13">
                  <c:v>-0.12511836470412657</c:v>
                </c:pt>
                <c:pt idx="14">
                  <c:v>-0.12807724205693607</c:v>
                </c:pt>
                <c:pt idx="15">
                  <c:v>-0.13125803521120627</c:v>
                </c:pt>
                <c:pt idx="16">
                  <c:v>-0.13467738785204675</c:v>
                </c:pt>
                <c:pt idx="17">
                  <c:v>-0.13835319194095025</c:v>
                </c:pt>
                <c:pt idx="18">
                  <c:v>-0.14230468133652152</c:v>
                </c:pt>
                <c:pt idx="19">
                  <c:v>-0.14655253243676064</c:v>
                </c:pt>
                <c:pt idx="20">
                  <c:v>-0.15111897236951768</c:v>
                </c:pt>
                <c:pt idx="21">
                  <c:v>-0.15602789529723152</c:v>
                </c:pt>
                <c:pt idx="22">
                  <c:v>-0.16130498744452387</c:v>
                </c:pt>
                <c:pt idx="23">
                  <c:v>-0.16697786150286315</c:v>
                </c:pt>
                <c:pt idx="24">
                  <c:v>-0.17307620111557787</c:v>
                </c:pt>
                <c:pt idx="25">
                  <c:v>-0.1796319161992462</c:v>
                </c:pt>
                <c:pt idx="26">
                  <c:v>-0.18667930991418966</c:v>
                </c:pt>
                <c:pt idx="27">
                  <c:v>-0.19425525815775388</c:v>
                </c:pt>
                <c:pt idx="28">
                  <c:v>-0.2023994025195854</c:v>
                </c:pt>
                <c:pt idx="29">
                  <c:v>-0.2111543577085543</c:v>
                </c:pt>
                <c:pt idx="30">
                  <c:v>-0.22056593453669587</c:v>
                </c:pt>
                <c:pt idx="31">
                  <c:v>-0.23068337962694807</c:v>
                </c:pt>
                <c:pt idx="32">
                  <c:v>-0.24155963309896916</c:v>
                </c:pt>
                <c:pt idx="33">
                  <c:v>-0.25325160558139187</c:v>
                </c:pt>
                <c:pt idx="34">
                  <c:v>-0.26582047599999625</c:v>
                </c:pt>
                <c:pt idx="35">
                  <c:v>-0.27933201169999594</c:v>
                </c:pt>
                <c:pt idx="36">
                  <c:v>-0.29385691257749563</c:v>
                </c:pt>
                <c:pt idx="37">
                  <c:v>-0.3094711810208078</c:v>
                </c:pt>
                <c:pt idx="38">
                  <c:v>-0.32625651959736834</c:v>
                </c:pt>
                <c:pt idx="39">
                  <c:v>-0.34430075856717096</c:v>
                </c:pt>
                <c:pt idx="40">
                  <c:v>-0.36369831545970877</c:v>
                </c:pt>
                <c:pt idx="41">
                  <c:v>-0.38455068911918694</c:v>
                </c:pt>
                <c:pt idx="42">
                  <c:v>-0.4069669908031259</c:v>
                </c:pt>
                <c:pt idx="43">
                  <c:v>-0.43106451511336036</c:v>
                </c:pt>
                <c:pt idx="44">
                  <c:v>-0.4569693537468624</c:v>
                </c:pt>
                <c:pt idx="45">
                  <c:v>-0.48481705527787705</c:v>
                </c:pt>
                <c:pt idx="46">
                  <c:v>-0.5147533344237178</c:v>
                </c:pt>
                <c:pt idx="47">
                  <c:v>-0.5469348345054966</c:v>
                </c:pt>
                <c:pt idx="48">
                  <c:v>-0.5815299470934089</c:v>
                </c:pt>
                <c:pt idx="49">
                  <c:v>-0.6187196931254145</c:v>
                </c:pt>
                <c:pt idx="50">
                  <c:v>-0.6586986701098206</c:v>
                </c:pt>
                <c:pt idx="51">
                  <c:v>-0.7016760703680571</c:v>
                </c:pt>
                <c:pt idx="52">
                  <c:v>-0.7478767756456615</c:v>
                </c:pt>
                <c:pt idx="53">
                  <c:v>-0.797542533819086</c:v>
                </c:pt>
                <c:pt idx="54">
                  <c:v>-0.8509332238555175</c:v>
                </c:pt>
                <c:pt idx="55">
                  <c:v>-0.9083282156446812</c:v>
                </c:pt>
                <c:pt idx="56">
                  <c:v>-0.9700278318180323</c:v>
                </c:pt>
                <c:pt idx="57">
                  <c:v>-1.0363549192043846</c:v>
                </c:pt>
                <c:pt idx="58">
                  <c:v>-1.1076565381447134</c:v>
                </c:pt>
                <c:pt idx="59">
                  <c:v>-1.1843057785055668</c:v>
                </c:pt>
                <c:pt idx="60">
                  <c:v>-1.2667037118934843</c:v>
                </c:pt>
                <c:pt idx="61">
                  <c:v>-1.3552814902854955</c:v>
                </c:pt>
                <c:pt idx="62">
                  <c:v>-1.4505026020569076</c:v>
                </c:pt>
                <c:pt idx="63">
                  <c:v>-1.5528652972111756</c:v>
                </c:pt>
                <c:pt idx="64">
                  <c:v>-1.6629051945020137</c:v>
                </c:pt>
                <c:pt idx="65">
                  <c:v>-1.7811980840896646</c:v>
                </c:pt>
                <c:pt idx="66">
                  <c:v>-1.9083629403963895</c:v>
                </c:pt>
                <c:pt idx="67">
                  <c:v>-2.045065160926119</c:v>
                </c:pt>
                <c:pt idx="68">
                  <c:v>-2.1920200479955776</c:v>
                </c:pt>
                <c:pt idx="69">
                  <c:v>-2.349996551595246</c:v>
                </c:pt>
                <c:pt idx="70">
                  <c:v>-2.5198212929648895</c:v>
                </c:pt>
                <c:pt idx="71">
                  <c:v>-2.7023828899372564</c:v>
                </c:pt>
                <c:pt idx="72">
                  <c:v>-2.8986366066825506</c:v>
                </c:pt>
                <c:pt idx="73">
                  <c:v>-3.109609352183742</c:v>
                </c:pt>
                <c:pt idx="74">
                  <c:v>-3.3364050535975225</c:v>
                </c:pt>
                <c:pt idx="75">
                  <c:v>-3.5802104326173367</c:v>
                </c:pt>
                <c:pt idx="76">
                  <c:v>-3.842301215063637</c:v>
                </c:pt>
                <c:pt idx="77">
                  <c:v>-4.12404880619341</c:v>
                </c:pt>
                <c:pt idx="78">
                  <c:v>-4.426927466657916</c:v>
                </c:pt>
                <c:pt idx="79">
                  <c:v>-4.752522026657259</c:v>
                </c:pt>
                <c:pt idx="80">
                  <c:v>-5.102536178656553</c:v>
                </c:pt>
                <c:pt idx="81">
                  <c:v>-5.478801392055795</c:v>
                </c:pt>
                <c:pt idx="82">
                  <c:v>-5.883286496459979</c:v>
                </c:pt>
                <c:pt idx="83">
                  <c:v>-6.318107983694477</c:v>
                </c:pt>
                <c:pt idx="84">
                  <c:v>-6.785541082471563</c:v>
                </c:pt>
                <c:pt idx="85">
                  <c:v>-7.2880316636569304</c:v>
                </c:pt>
                <c:pt idx="86">
                  <c:v>-7.8282090384312</c:v>
                </c:pt>
                <c:pt idx="87">
                  <c:v>-8.40889971631354</c:v>
                </c:pt>
                <c:pt idx="88">
                  <c:v>-9.033142195037055</c:v>
                </c:pt>
                <c:pt idx="89">
                  <c:v>-9.704202859664834</c:v>
                </c:pt>
                <c:pt idx="90">
                  <c:v>-10.425593074139696</c:v>
                </c:pt>
                <c:pt idx="91">
                  <c:v>-11.201087554700173</c:v>
                </c:pt>
                <c:pt idx="92">
                  <c:v>-12.034744121302685</c:v>
                </c:pt>
                <c:pt idx="93">
                  <c:v>-12.930924930400387</c:v>
                </c:pt>
                <c:pt idx="94">
                  <c:v>-13.894319300180415</c:v>
                </c:pt>
                <c:pt idx="95">
                  <c:v>-14.929968247693946</c:v>
                </c:pt>
                <c:pt idx="96">
                  <c:v>-16.04329086627099</c:v>
                </c:pt>
                <c:pt idx="97">
                  <c:v>-17.240112681241314</c:v>
                </c:pt>
                <c:pt idx="98">
                  <c:v>-18.52669613233441</c:v>
                </c:pt>
              </c:numCache>
            </c:numRef>
          </c:xVal>
          <c:yVal>
            <c:numRef>
              <c:f>PlotTable!$T$7:$T$105</c:f>
              <c:numCache>
                <c:ptCount val="99"/>
                <c:pt idx="0">
                  <c:v>19.026183656279738</c:v>
                </c:pt>
                <c:pt idx="1">
                  <c:v>19.02610722051484</c:v>
                </c:pt>
                <c:pt idx="2">
                  <c:v>19.026026011804394</c:v>
                </c:pt>
                <c:pt idx="3">
                  <c:v>19.025939795056868</c:v>
                </c:pt>
                <c:pt idx="4">
                  <c:v>19.025848331463916</c:v>
                </c:pt>
                <c:pt idx="5">
                  <c:v>19.0257513794496</c:v>
                </c:pt>
                <c:pt idx="6">
                  <c:v>19.0256486957357</c:v>
                </c:pt>
                <c:pt idx="7">
                  <c:v>19.025540036521694</c:v>
                </c:pt>
                <c:pt idx="8">
                  <c:v>19.025425158775434</c:v>
                </c:pt>
                <c:pt idx="9">
                  <c:v>19.025303821628043</c:v>
                </c:pt>
                <c:pt idx="10">
                  <c:v>19.025175787863546</c:v>
                </c:pt>
                <c:pt idx="11">
                  <c:v>19.025040825490926</c:v>
                </c:pt>
                <c:pt idx="12">
                  <c:v>19.02489870938325</c:v>
                </c:pt>
                <c:pt idx="13">
                  <c:v>19.024749222965546</c:v>
                </c:pt>
                <c:pt idx="14">
                  <c:v>19.024592159930453</c:v>
                </c:pt>
                <c:pt idx="15">
                  <c:v>19.024427325958182</c:v>
                </c:pt>
                <c:pt idx="16">
                  <c:v>19.02425454041539</c:v>
                </c:pt>
                <c:pt idx="17">
                  <c:v>19.02407363800607</c:v>
                </c:pt>
                <c:pt idx="18">
                  <c:v>19.0238844703469</c:v>
                </c:pt>
                <c:pt idx="19">
                  <c:v>19.02368690743949</c:v>
                </c:pt>
                <c:pt idx="20">
                  <c:v>19.023480839012713</c:v>
                </c:pt>
                <c:pt idx="21">
                  <c:v>19.02326617571014</c:v>
                </c:pt>
                <c:pt idx="22">
                  <c:v>19.023042850100136</c:v>
                </c:pt>
                <c:pt idx="23">
                  <c:v>19.02281081748939</c:v>
                </c:pt>
                <c:pt idx="24">
                  <c:v>19.022570056524994</c:v>
                </c:pt>
                <c:pt idx="25">
                  <c:v>19.0223205695746</c:v>
                </c:pt>
                <c:pt idx="26">
                  <c:v>19.02206238287943</c:v>
                </c:pt>
                <c:pt idx="27">
                  <c:v>19.021795546480288</c:v>
                </c:pt>
                <c:pt idx="28">
                  <c:v>19.021520133921992</c:v>
                </c:pt>
                <c:pt idx="29">
                  <c:v>19.021236241747104</c:v>
                </c:pt>
                <c:pt idx="30">
                  <c:v>19.02094398879454</c:v>
                </c:pt>
                <c:pt idx="31">
                  <c:v>19.02064351532333</c:v>
                </c:pt>
                <c:pt idx="32">
                  <c:v>19.0203349819853</c:v>
                </c:pt>
                <c:pt idx="33">
                  <c:v>19.020018568673734</c:v>
                </c:pt>
                <c:pt idx="34">
                  <c:v>19.01969447327706</c:v>
                </c:pt>
                <c:pt idx="35">
                  <c:v>19.019362910368116</c:v>
                </c:pt>
                <c:pt idx="36">
                  <c:v>19.019024109860005</c:v>
                </c:pt>
                <c:pt idx="37">
                  <c:v>19.018678315659255</c:v>
                </c:pt>
                <c:pt idx="38">
                  <c:v>19.018325784346093</c:v>
                </c:pt>
                <c:pt idx="39">
                  <c:v>19.01796678390999</c:v>
                </c:pt>
                <c:pt idx="40">
                  <c:v>19.01760159256651</c:v>
                </c:pt>
                <c:pt idx="41">
                  <c:v>19.017230497679105</c:v>
                </c:pt>
                <c:pt idx="42">
                  <c:v>19.016853794806647</c:v>
                </c:pt>
                <c:pt idx="43">
                  <c:v>19.01647178689461</c:v>
                </c:pt>
                <c:pt idx="44">
                  <c:v>19.016084783624866</c:v>
                </c:pt>
                <c:pt idx="45">
                  <c:v>19.015693100936026</c:v>
                </c:pt>
                <c:pt idx="46">
                  <c:v>19.015297060723423</c:v>
                </c:pt>
                <c:pt idx="47">
                  <c:v>19.01489699072496</c:v>
                </c:pt>
                <c:pt idx="48">
                  <c:v>19.014493224596514</c:v>
                </c:pt>
                <c:pt idx="49">
                  <c:v>19.014086102177853</c:v>
                </c:pt>
                <c:pt idx="50">
                  <c:v>19.013675969947702</c:v>
                </c:pt>
                <c:pt idx="51">
                  <c:v>19.01326318166413</c:v>
                </c:pt>
                <c:pt idx="52">
                  <c:v>19.012848099183987</c:v>
                </c:pt>
                <c:pt idx="53">
                  <c:v>19.012431093452655</c:v>
                </c:pt>
                <c:pt idx="54">
                  <c:v>19.01201254565272</c:v>
                </c:pt>
                <c:pt idx="55">
                  <c:v>19.011592848497248</c:v>
                </c:pt>
                <c:pt idx="56">
                  <c:v>19.011172407650168</c:v>
                </c:pt>
                <c:pt idx="57">
                  <c:v>19.010751643252537</c:v>
                </c:pt>
                <c:pt idx="58">
                  <c:v>19.010330991529376</c:v>
                </c:pt>
                <c:pt idx="59">
                  <c:v>19.009910906446997</c:v>
                </c:pt>
                <c:pt idx="60">
                  <c:v>19.00949186138526</c:v>
                </c:pt>
                <c:pt idx="61">
                  <c:v>19.009074350783184</c:v>
                </c:pt>
                <c:pt idx="62">
                  <c:v>19.008658891709498</c:v>
                </c:pt>
                <c:pt idx="63">
                  <c:v>19.008246025302096</c:v>
                </c:pt>
                <c:pt idx="64">
                  <c:v>19.007836318012366</c:v>
                </c:pt>
                <c:pt idx="65">
                  <c:v>19.007430362581605</c:v>
                </c:pt>
                <c:pt idx="66">
                  <c:v>19.007028778667912</c:v>
                </c:pt>
                <c:pt idx="67">
                  <c:v>19.006632213032994</c:v>
                </c:pt>
                <c:pt idx="68">
                  <c:v>19.006241339189973</c:v>
                </c:pt>
                <c:pt idx="69">
                  <c:v>19.005856856405874</c:v>
                </c:pt>
                <c:pt idx="70">
                  <c:v>19.005479487946694</c:v>
                </c:pt>
                <c:pt idx="71">
                  <c:v>19.00510997844989</c:v>
                </c:pt>
                <c:pt idx="72">
                  <c:v>19.00474909030955</c:v>
                </c:pt>
                <c:pt idx="73">
                  <c:v>19.004397598964577</c:v>
                </c:pt>
                <c:pt idx="74">
                  <c:v>19.004056286991574</c:v>
                </c:pt>
                <c:pt idx="75">
                  <c:v>19.00372593692251</c:v>
                </c:pt>
                <c:pt idx="76">
                  <c:v>19.00340732273477</c:v>
                </c:pt>
                <c:pt idx="77">
                  <c:v>19.003101199998536</c:v>
                </c:pt>
                <c:pt idx="78">
                  <c:v>19.002808294714995</c:v>
                </c:pt>
                <c:pt idx="79">
                  <c:v>19.002529290939023</c:v>
                </c:pt>
                <c:pt idx="80">
                  <c:v>19.00226481735184</c:v>
                </c:pt>
                <c:pt idx="81">
                  <c:v>19.002015433031445</c:v>
                </c:pt>
                <c:pt idx="82">
                  <c:v>19.001781612759274</c:v>
                </c:pt>
                <c:pt idx="83">
                  <c:v>19.001563732296493</c:v>
                </c:pt>
                <c:pt idx="84">
                  <c:v>19.001362054157735</c:v>
                </c:pt>
                <c:pt idx="85">
                  <c:v>19.00117671449679</c:v>
                </c:pt>
                <c:pt idx="86">
                  <c:v>19.001007711793452</c:v>
                </c:pt>
                <c:pt idx="87">
                  <c:v>19.00085489809551</c:v>
                </c:pt>
                <c:pt idx="88">
                  <c:v>19.00071797350936</c:v>
                </c:pt>
                <c:pt idx="89">
                  <c:v>19.00059648487422</c:v>
                </c:pt>
                <c:pt idx="90">
                  <c:v>19.000489828359875</c:v>
                </c:pt>
                <c:pt idx="91">
                  <c:v>19.000397257751654</c:v>
                </c:pt>
                <c:pt idx="92">
                  <c:v>19.00031789764827</c:v>
                </c:pt>
                <c:pt idx="93">
                  <c:v>19.000250761668774</c:v>
                </c:pt>
                <c:pt idx="94">
                  <c:v>19.000194775328662</c:v>
                </c:pt>
                <c:pt idx="95">
                  <c:v>19.0001488027518</c:v>
                </c:pt>
                <c:pt idx="96">
                  <c:v>19.000111676055234</c:v>
                </c:pt>
                <c:pt idx="97">
                  <c:v>19.00008222595235</c:v>
                </c:pt>
                <c:pt idx="98">
                  <c:v>19.00005931191542</c:v>
                </c:pt>
              </c:numCache>
            </c:numRef>
          </c:yVal>
          <c:smooth val="1"/>
        </c:ser>
        <c:axId val="56935623"/>
        <c:axId val="42658560"/>
      </c:scatterChart>
      <c:valAx>
        <c:axId val="56935623"/>
        <c:scaling>
          <c:orientation val="minMax"/>
          <c:max val="10"/>
          <c:min val="-1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658560"/>
        <c:crosses val="autoZero"/>
        <c:crossBetween val="midCat"/>
        <c:dispUnits/>
      </c:valAx>
      <c:valAx>
        <c:axId val="42658560"/>
        <c:scaling>
          <c:orientation val="maxMin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9356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365"/>
          <c:w val="0.9"/>
          <c:h val="0.866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PlotTable!$F$5:$F$105</c:f>
              <c:numCache>
                <c:ptCount val="101"/>
                <c:pt idx="0">
                  <c:v>3.611990580158769</c:v>
                </c:pt>
                <c:pt idx="1">
                  <c:v>3.5078707327990726</c:v>
                </c:pt>
                <c:pt idx="2">
                  <c:v>3.4066784408346242</c:v>
                </c:pt>
                <c:pt idx="3">
                  <c:v>3.3083292524532384</c:v>
                </c:pt>
                <c:pt idx="4">
                  <c:v>3.212741088604973</c:v>
                </c:pt>
                <c:pt idx="5">
                  <c:v>3.119834174501614</c:v>
                </c:pt>
                <c:pt idx="6">
                  <c:v>3.029530973039215</c:v>
                </c:pt>
                <c:pt idx="7">
                  <c:v>2.9417561200881397</c:v>
                </c:pt>
                <c:pt idx="8">
                  <c:v>2.8564363615966015</c:v>
                </c:pt>
                <c:pt idx="9">
                  <c:v>2.7735004924552</c:v>
                </c:pt>
                <c:pt idx="10">
                  <c:v>2.692879297071441</c:v>
                </c:pt>
                <c:pt idx="11">
                  <c:v>2.6145054916046413</c:v>
                </c:pt>
                <c:pt idx="12">
                  <c:v>2.538313667813017</c:v>
                </c:pt>
                <c:pt idx="13">
                  <c:v>2.464240238466079</c:v>
                </c:pt>
                <c:pt idx="14">
                  <c:v>2.3922233842767873</c:v>
                </c:pt>
                <c:pt idx="15">
                  <c:v>2.322203002309176</c:v>
                </c:pt>
                <c:pt idx="16">
                  <c:v>2.2541206558183857</c:v>
                </c:pt>
                <c:pt idx="17">
                  <c:v>2.187919525481253</c:v>
                </c:pt>
                <c:pt idx="18">
                  <c:v>2.1235443619767347</c:v>
                </c:pt>
                <c:pt idx="19">
                  <c:v>2.060941439876617</c:v>
                </c:pt>
                <c:pt idx="20">
                  <c:v>2.0000585128080126</c:v>
                </c:pt>
                <c:pt idx="21">
                  <c:v>1.9408447698502227</c:v>
                </c:pt>
                <c:pt idx="22">
                  <c:v>1.8832507931295936</c:v>
                </c:pt>
                <c:pt idx="23">
                  <c:v>1.827228516576956</c:v>
                </c:pt>
                <c:pt idx="24">
                  <c:v>1.772731185813238</c:v>
                </c:pt>
                <c:pt idx="25">
                  <c:v>1.719713319129774</c:v>
                </c:pt>
                <c:pt idx="26">
                  <c:v>1.6681306695307436</c:v>
                </c:pt>
                <c:pt idx="27">
                  <c:v>1.6179401878060602</c:v>
                </c:pt>
                <c:pt idx="28">
                  <c:v>1.5690999866038917</c:v>
                </c:pt>
                <c:pt idx="29">
                  <c:v>1.521569305472835</c:v>
                </c:pt>
                <c:pt idx="30">
                  <c:v>1.4753084768445601</c:v>
                </c:pt>
                <c:pt idx="31">
                  <c:v>1.430278892928543</c:v>
                </c:pt>
                <c:pt idx="32">
                  <c:v>1.3864429734912511</c:v>
                </c:pt>
                <c:pt idx="33">
                  <c:v>1.3437641344928979</c:v>
                </c:pt>
                <c:pt idx="34">
                  <c:v>1.302206757555587</c:v>
                </c:pt>
                <c:pt idx="35">
                  <c:v>1.2617361602373667</c:v>
                </c:pt>
                <c:pt idx="36">
                  <c:v>1.222318567087386</c:v>
                </c:pt>
                <c:pt idx="37">
                  <c:v>1.183921081457996</c:v>
                </c:pt>
                <c:pt idx="38">
                  <c:v>1.1465116580502726</c:v>
                </c:pt>
                <c:pt idx="39">
                  <c:v>1.110059076170048</c:v>
                </c:pt>
                <c:pt idx="40">
                  <c:v>1.0745329136721287</c:v>
                </c:pt>
                <c:pt idx="41">
                  <c:v>1.0399035215709571</c:v>
                </c:pt>
                <c:pt idx="42">
                  <c:v>1.006141999296529</c:v>
                </c:pt>
                <c:pt idx="43">
                  <c:v>0.9732201705749117</c:v>
                </c:pt>
                <c:pt idx="44">
                  <c:v>0.9411105599132396</c:v>
                </c:pt>
                <c:pt idx="45">
                  <c:v>0.909786369669554</c:v>
                </c:pt>
                <c:pt idx="46">
                  <c:v>0.8792214576883612</c:v>
                </c:pt>
                <c:pt idx="47">
                  <c:v>0.8493903154832343</c:v>
                </c:pt>
                <c:pt idx="48">
                  <c:v>0.8202680469482551</c:v>
                </c:pt>
                <c:pt idx="49">
                  <c:v>0.7918303475805317</c:v>
                </c:pt>
                <c:pt idx="50">
                  <c:v>0.7640534841964453</c:v>
                </c:pt>
                <c:pt idx="51">
                  <c:v>0.7369142751247038</c:v>
                </c:pt>
                <c:pt idx="52">
                  <c:v>0.7103900708596687</c:v>
                </c:pt>
                <c:pt idx="53">
                  <c:v>0.6844587351588112</c:v>
                </c:pt>
                <c:pt idx="54">
                  <c:v>0.6590986265685205</c:v>
                </c:pt>
                <c:pt idx="55">
                  <c:v>0.634288580362847</c:v>
                </c:pt>
                <c:pt idx="56">
                  <c:v>0.6100078908801057</c:v>
                </c:pt>
                <c:pt idx="57">
                  <c:v>0.5862362942426032</c:v>
                </c:pt>
                <c:pt idx="58">
                  <c:v>0.562953951445059</c:v>
                </c:pt>
                <c:pt idx="59">
                  <c:v>0.5401414317976153</c:v>
                </c:pt>
                <c:pt idx="60">
                  <c:v>0.5177796967096113</c:v>
                </c:pt>
                <c:pt idx="61">
                  <c:v>0.4958500838005918</c:v>
                </c:pt>
                <c:pt idx="62">
                  <c:v>0.4743342913252874</c:v>
                </c:pt>
                <c:pt idx="63">
                  <c:v>0.45321436289957207</c:v>
                </c:pt>
                <c:pt idx="64">
                  <c:v>0.43536488430884673</c:v>
                </c:pt>
                <c:pt idx="65">
                  <c:v>0.41854043126130774</c:v>
                </c:pt>
                <c:pt idx="66">
                  <c:v>0.40241205856306195</c:v>
                </c:pt>
                <c:pt idx="67">
                  <c:v>0.38695294289558896</c:v>
                </c:pt>
                <c:pt idx="68">
                  <c:v>0.3721373739909437</c:v>
                </c:pt>
                <c:pt idx="69">
                  <c:v>0.35794071187265614</c:v>
                </c:pt>
                <c:pt idx="70">
                  <c:v>0.3443393458766467</c:v>
                </c:pt>
                <c:pt idx="71">
                  <c:v>0.331310655384007</c:v>
                </c:pt>
                <c:pt idx="72">
                  <c:v>0.31883297220033685</c:v>
                </c:pt>
                <c:pt idx="73">
                  <c:v>0.306885544519072</c:v>
                </c:pt>
                <c:pt idx="74">
                  <c:v>0.2954485024088691</c:v>
                </c:pt>
                <c:pt idx="75">
                  <c:v>0.2845028247676497</c:v>
                </c:pt>
                <c:pt idx="76">
                  <c:v>0.27403030768834385</c:v>
                </c:pt>
                <c:pt idx="77">
                  <c:v>0.2640135341837217</c:v>
                </c:pt>
                <c:pt idx="78">
                  <c:v>0.2544358452199617</c:v>
                </c:pt>
                <c:pt idx="79">
                  <c:v>0.24528131201078354</c:v>
                </c:pt>
                <c:pt idx="80">
                  <c:v>0.23653470952606376</c:v>
                </c:pt>
                <c:pt idx="81">
                  <c:v>0.2281814911708789</c:v>
                </c:pt>
                <c:pt idx="82">
                  <c:v>0.22020776459286295</c:v>
                </c:pt>
                <c:pt idx="83">
                  <c:v>0.2126002685776457</c:v>
                </c:pt>
                <c:pt idx="84">
                  <c:v>0.20534635099394433</c:v>
                </c:pt>
                <c:pt idx="85">
                  <c:v>0.1984339477516296</c:v>
                </c:pt>
                <c:pt idx="86">
                  <c:v>0.19185156273777207</c:v>
                </c:pt>
                <c:pt idx="87">
                  <c:v>0.18558824869729806</c:v>
                </c:pt>
                <c:pt idx="88">
                  <c:v>0.17963358902645965</c:v>
                </c:pt>
                <c:pt idx="89">
                  <c:v>0.1739776804488369</c:v>
                </c:pt>
                <c:pt idx="90">
                  <c:v>0.16861111654506347</c:v>
                </c:pt>
                <c:pt idx="91">
                  <c:v>0.16352497210888045</c:v>
                </c:pt>
                <c:pt idx="92">
                  <c:v>0.15871078830350357</c:v>
                </c:pt>
                <c:pt idx="93">
                  <c:v>0.1541605585936151</c:v>
                </c:pt>
                <c:pt idx="94">
                  <c:v>0.14986671542958474</c:v>
                </c:pt>
                <c:pt idx="95">
                  <c:v>0.14582211766177391</c:v>
                </c:pt>
                <c:pt idx="96">
                  <c:v>0.1420200386639916</c:v>
                </c:pt>
                <c:pt idx="97">
                  <c:v>0.13845415514634946</c:v>
                </c:pt>
                <c:pt idx="98">
                  <c:v>0.13511853663891174</c:v>
                </c:pt>
                <c:pt idx="99">
                  <c:v>0.13200763562864898</c:v>
                </c:pt>
                <c:pt idx="100">
                  <c:v>0.13127774820061125</c:v>
                </c:pt>
              </c:numCache>
            </c:numRef>
          </c:xVal>
          <c:yVal>
            <c:numRef>
              <c:f>PlotTable!$A$5:$A$105</c:f>
              <c:numCache>
                <c:ptCount val="101"/>
                <c:pt idx="0">
                  <c:v>0</c:v>
                </c:pt>
                <c:pt idx="1">
                  <c:v>0.19</c:v>
                </c:pt>
                <c:pt idx="2">
                  <c:v>0.38</c:v>
                </c:pt>
                <c:pt idx="3">
                  <c:v>0.5700000000000001</c:v>
                </c:pt>
                <c:pt idx="4">
                  <c:v>0.76</c:v>
                </c:pt>
                <c:pt idx="5">
                  <c:v>0.95</c:v>
                </c:pt>
                <c:pt idx="6">
                  <c:v>1.14</c:v>
                </c:pt>
                <c:pt idx="7">
                  <c:v>1.3299999999999998</c:v>
                </c:pt>
                <c:pt idx="8">
                  <c:v>1.5199999999999998</c:v>
                </c:pt>
                <c:pt idx="9">
                  <c:v>1.7099999999999997</c:v>
                </c:pt>
                <c:pt idx="10">
                  <c:v>1.8999999999999997</c:v>
                </c:pt>
                <c:pt idx="11">
                  <c:v>2.09</c:v>
                </c:pt>
                <c:pt idx="12">
                  <c:v>2.28</c:v>
                </c:pt>
                <c:pt idx="13">
                  <c:v>2.4699999999999998</c:v>
                </c:pt>
                <c:pt idx="14">
                  <c:v>2.6599999999999997</c:v>
                </c:pt>
                <c:pt idx="15">
                  <c:v>2.8499999999999996</c:v>
                </c:pt>
                <c:pt idx="16">
                  <c:v>3.0399999999999996</c:v>
                </c:pt>
                <c:pt idx="17">
                  <c:v>3.2299999999999995</c:v>
                </c:pt>
                <c:pt idx="18">
                  <c:v>3.4199999999999995</c:v>
                </c:pt>
                <c:pt idx="19">
                  <c:v>3.6099999999999994</c:v>
                </c:pt>
                <c:pt idx="20">
                  <c:v>3.7999999999999994</c:v>
                </c:pt>
                <c:pt idx="21">
                  <c:v>3.9899999999999993</c:v>
                </c:pt>
                <c:pt idx="22">
                  <c:v>4.18</c:v>
                </c:pt>
                <c:pt idx="23">
                  <c:v>4.37</c:v>
                </c:pt>
                <c:pt idx="24">
                  <c:v>4.5600000000000005</c:v>
                </c:pt>
                <c:pt idx="25">
                  <c:v>4.750000000000001</c:v>
                </c:pt>
                <c:pt idx="26">
                  <c:v>4.940000000000001</c:v>
                </c:pt>
                <c:pt idx="27">
                  <c:v>5.130000000000002</c:v>
                </c:pt>
                <c:pt idx="28">
                  <c:v>5.320000000000002</c:v>
                </c:pt>
                <c:pt idx="29">
                  <c:v>5.5100000000000025</c:v>
                </c:pt>
                <c:pt idx="30">
                  <c:v>5.700000000000003</c:v>
                </c:pt>
                <c:pt idx="31">
                  <c:v>5.890000000000003</c:v>
                </c:pt>
                <c:pt idx="32">
                  <c:v>6.080000000000004</c:v>
                </c:pt>
                <c:pt idx="33">
                  <c:v>6.270000000000004</c:v>
                </c:pt>
                <c:pt idx="34">
                  <c:v>6.460000000000004</c:v>
                </c:pt>
                <c:pt idx="35">
                  <c:v>6.650000000000005</c:v>
                </c:pt>
                <c:pt idx="36">
                  <c:v>6.840000000000005</c:v>
                </c:pt>
                <c:pt idx="37">
                  <c:v>7.030000000000006</c:v>
                </c:pt>
                <c:pt idx="38">
                  <c:v>7.220000000000006</c:v>
                </c:pt>
                <c:pt idx="39">
                  <c:v>7.410000000000006</c:v>
                </c:pt>
                <c:pt idx="40">
                  <c:v>7.600000000000007</c:v>
                </c:pt>
                <c:pt idx="41">
                  <c:v>7.790000000000007</c:v>
                </c:pt>
                <c:pt idx="42">
                  <c:v>7.9800000000000075</c:v>
                </c:pt>
                <c:pt idx="43">
                  <c:v>8.170000000000007</c:v>
                </c:pt>
                <c:pt idx="44">
                  <c:v>8.360000000000007</c:v>
                </c:pt>
                <c:pt idx="45">
                  <c:v>8.550000000000006</c:v>
                </c:pt>
                <c:pt idx="46">
                  <c:v>8.740000000000006</c:v>
                </c:pt>
                <c:pt idx="47">
                  <c:v>8.930000000000005</c:v>
                </c:pt>
                <c:pt idx="48">
                  <c:v>9.120000000000005</c:v>
                </c:pt>
                <c:pt idx="49">
                  <c:v>9.310000000000004</c:v>
                </c:pt>
                <c:pt idx="50">
                  <c:v>9.500000000000004</c:v>
                </c:pt>
                <c:pt idx="51">
                  <c:v>9.690000000000003</c:v>
                </c:pt>
                <c:pt idx="52">
                  <c:v>9.880000000000003</c:v>
                </c:pt>
                <c:pt idx="53">
                  <c:v>10.070000000000002</c:v>
                </c:pt>
                <c:pt idx="54">
                  <c:v>10.260000000000002</c:v>
                </c:pt>
                <c:pt idx="55">
                  <c:v>10.450000000000001</c:v>
                </c:pt>
                <c:pt idx="56">
                  <c:v>10.64</c:v>
                </c:pt>
                <c:pt idx="57">
                  <c:v>10.83</c:v>
                </c:pt>
                <c:pt idx="58">
                  <c:v>11.02</c:v>
                </c:pt>
                <c:pt idx="59">
                  <c:v>11.209999999999999</c:v>
                </c:pt>
                <c:pt idx="60">
                  <c:v>11.399999999999999</c:v>
                </c:pt>
                <c:pt idx="61">
                  <c:v>11.589999999999998</c:v>
                </c:pt>
                <c:pt idx="62">
                  <c:v>11.779999999999998</c:v>
                </c:pt>
                <c:pt idx="63">
                  <c:v>11.969999999999997</c:v>
                </c:pt>
                <c:pt idx="64">
                  <c:v>12.159999999999997</c:v>
                </c:pt>
                <c:pt idx="65">
                  <c:v>12.349999999999996</c:v>
                </c:pt>
                <c:pt idx="66">
                  <c:v>12.539999999999996</c:v>
                </c:pt>
                <c:pt idx="67">
                  <c:v>12.729999999999995</c:v>
                </c:pt>
                <c:pt idx="68">
                  <c:v>12.919999999999995</c:v>
                </c:pt>
                <c:pt idx="69">
                  <c:v>13.109999999999994</c:v>
                </c:pt>
                <c:pt idx="70">
                  <c:v>13.299999999999994</c:v>
                </c:pt>
                <c:pt idx="71">
                  <c:v>13.489999999999993</c:v>
                </c:pt>
                <c:pt idx="72">
                  <c:v>13.679999999999993</c:v>
                </c:pt>
                <c:pt idx="73">
                  <c:v>13.869999999999992</c:v>
                </c:pt>
                <c:pt idx="74">
                  <c:v>14.059999999999992</c:v>
                </c:pt>
                <c:pt idx="75">
                  <c:v>14.249999999999991</c:v>
                </c:pt>
                <c:pt idx="76">
                  <c:v>14.43999999999999</c:v>
                </c:pt>
                <c:pt idx="77">
                  <c:v>14.62999999999999</c:v>
                </c:pt>
                <c:pt idx="78">
                  <c:v>14.81999999999999</c:v>
                </c:pt>
                <c:pt idx="79">
                  <c:v>15.00999999999999</c:v>
                </c:pt>
                <c:pt idx="80">
                  <c:v>15.199999999999989</c:v>
                </c:pt>
                <c:pt idx="81">
                  <c:v>15.389999999999988</c:v>
                </c:pt>
                <c:pt idx="82">
                  <c:v>15.579999999999988</c:v>
                </c:pt>
                <c:pt idx="83">
                  <c:v>15.769999999999987</c:v>
                </c:pt>
                <c:pt idx="84">
                  <c:v>15.959999999999987</c:v>
                </c:pt>
                <c:pt idx="85">
                  <c:v>16.149999999999988</c:v>
                </c:pt>
                <c:pt idx="86">
                  <c:v>16.33999999999999</c:v>
                </c:pt>
                <c:pt idx="87">
                  <c:v>16.52999999999999</c:v>
                </c:pt>
                <c:pt idx="88">
                  <c:v>16.71999999999999</c:v>
                </c:pt>
                <c:pt idx="89">
                  <c:v>16.909999999999993</c:v>
                </c:pt>
                <c:pt idx="90">
                  <c:v>17.099999999999994</c:v>
                </c:pt>
                <c:pt idx="91">
                  <c:v>17.289999999999996</c:v>
                </c:pt>
                <c:pt idx="92">
                  <c:v>17.479999999999997</c:v>
                </c:pt>
                <c:pt idx="93">
                  <c:v>17.669999999999998</c:v>
                </c:pt>
                <c:pt idx="94">
                  <c:v>17.86</c:v>
                </c:pt>
                <c:pt idx="95">
                  <c:v>18.05</c:v>
                </c:pt>
                <c:pt idx="96">
                  <c:v>18.240000000000002</c:v>
                </c:pt>
                <c:pt idx="97">
                  <c:v>18.430000000000003</c:v>
                </c:pt>
                <c:pt idx="98">
                  <c:v>18.620000000000005</c:v>
                </c:pt>
                <c:pt idx="99">
                  <c:v>18.810000000000006</c:v>
                </c:pt>
                <c:pt idx="100">
                  <c:v>19.000000000000007</c:v>
                </c:pt>
              </c:numCache>
            </c:numRef>
          </c:yVal>
          <c:smooth val="1"/>
        </c:ser>
        <c:axId val="48382721"/>
        <c:axId val="32791306"/>
      </c:scatterChart>
      <c:valAx>
        <c:axId val="483827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Pile displacement (mm)</a:t>
                </a:r>
              </a:p>
            </c:rich>
          </c:tx>
          <c:layout>
            <c:manualLayout>
              <c:xMode val="factor"/>
              <c:yMode val="factor"/>
              <c:x val="0.26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791306"/>
        <c:crosses val="autoZero"/>
        <c:crossBetween val="midCat"/>
        <c:dispUnits/>
      </c:valAx>
      <c:valAx>
        <c:axId val="3279130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721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042"/>
          <c:w val="0.87675"/>
          <c:h val="0.863"/>
        </c:manualLayout>
      </c:layout>
      <c:scatterChart>
        <c:scatterStyle val="smoothMarker"/>
        <c:varyColors val="0"/>
        <c:ser>
          <c:idx val="0"/>
          <c:order val="0"/>
          <c:tx>
            <c:v>At the pile head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0.10107500000000001</c:v>
                </c:pt>
                <c:pt idx="1">
                  <c:v>0.102230625</c:v>
                </c:pt>
                <c:pt idx="2">
                  <c:v>0.10347292187500001</c:v>
                </c:pt>
                <c:pt idx="3">
                  <c:v>0.10480839101562502</c:v>
                </c:pt>
                <c:pt idx="4">
                  <c:v>0.10624402034179689</c:v>
                </c:pt>
                <c:pt idx="5">
                  <c:v>0.10778732186743166</c:v>
                </c:pt>
                <c:pt idx="6">
                  <c:v>0.10944637100748904</c:v>
                </c:pt>
                <c:pt idx="7">
                  <c:v>0.11122984883305072</c:v>
                </c:pt>
                <c:pt idx="8">
                  <c:v>0.11314708749552951</c:v>
                </c:pt>
                <c:pt idx="9">
                  <c:v>0.11520811905769422</c:v>
                </c:pt>
                <c:pt idx="10">
                  <c:v>0.11742372798702129</c:v>
                </c:pt>
                <c:pt idx="11">
                  <c:v>0.11980550758604788</c:v>
                </c:pt>
                <c:pt idx="12">
                  <c:v>0.12236592065500147</c:v>
                </c:pt>
                <c:pt idx="13">
                  <c:v>0.12511836470412657</c:v>
                </c:pt>
                <c:pt idx="14">
                  <c:v>0.12807724205693607</c:v>
                </c:pt>
                <c:pt idx="15">
                  <c:v>0.13125803521120627</c:v>
                </c:pt>
                <c:pt idx="16">
                  <c:v>0.13467738785204675</c:v>
                </c:pt>
                <c:pt idx="17">
                  <c:v>0.13835319194095025</c:v>
                </c:pt>
                <c:pt idx="18">
                  <c:v>0.14230468133652152</c:v>
                </c:pt>
                <c:pt idx="19">
                  <c:v>0.14655253243676064</c:v>
                </c:pt>
                <c:pt idx="20">
                  <c:v>0.15111897236951768</c:v>
                </c:pt>
                <c:pt idx="21">
                  <c:v>0.15602789529723152</c:v>
                </c:pt>
                <c:pt idx="22">
                  <c:v>0.16130498744452387</c:v>
                </c:pt>
                <c:pt idx="23">
                  <c:v>0.16697786150286315</c:v>
                </c:pt>
                <c:pt idx="24">
                  <c:v>0.17307620111557787</c:v>
                </c:pt>
                <c:pt idx="25">
                  <c:v>0.1796319161992462</c:v>
                </c:pt>
                <c:pt idx="26">
                  <c:v>0.18667930991418966</c:v>
                </c:pt>
                <c:pt idx="27">
                  <c:v>0.19425525815775388</c:v>
                </c:pt>
                <c:pt idx="28">
                  <c:v>0.2023994025195854</c:v>
                </c:pt>
                <c:pt idx="29">
                  <c:v>0.2111543577085543</c:v>
                </c:pt>
                <c:pt idx="30">
                  <c:v>0.22056593453669587</c:v>
                </c:pt>
                <c:pt idx="31">
                  <c:v>0.23068337962694807</c:v>
                </c:pt>
                <c:pt idx="32">
                  <c:v>0.24155963309896916</c:v>
                </c:pt>
                <c:pt idx="33">
                  <c:v>0.25325160558139187</c:v>
                </c:pt>
                <c:pt idx="34">
                  <c:v>0.26582047599999625</c:v>
                </c:pt>
                <c:pt idx="35">
                  <c:v>0.27933201169999594</c:v>
                </c:pt>
                <c:pt idx="36">
                  <c:v>0.29385691257749563</c:v>
                </c:pt>
                <c:pt idx="37">
                  <c:v>0.3094711810208078</c:v>
                </c:pt>
                <c:pt idx="38">
                  <c:v>0.32625651959736834</c:v>
                </c:pt>
                <c:pt idx="39">
                  <c:v>0.34430075856717096</c:v>
                </c:pt>
                <c:pt idx="40">
                  <c:v>0.36369831545970877</c:v>
                </c:pt>
                <c:pt idx="41">
                  <c:v>0.38455068911918694</c:v>
                </c:pt>
                <c:pt idx="42">
                  <c:v>0.4069669908031259</c:v>
                </c:pt>
                <c:pt idx="43">
                  <c:v>0.43106451511336036</c:v>
                </c:pt>
                <c:pt idx="44">
                  <c:v>0.4569693537468624</c:v>
                </c:pt>
                <c:pt idx="45">
                  <c:v>0.48481705527787705</c:v>
                </c:pt>
                <c:pt idx="46">
                  <c:v>0.5147533344237178</c:v>
                </c:pt>
                <c:pt idx="47">
                  <c:v>0.5469348345054966</c:v>
                </c:pt>
                <c:pt idx="48">
                  <c:v>0.5815299470934089</c:v>
                </c:pt>
                <c:pt idx="49">
                  <c:v>0.6187196931254145</c:v>
                </c:pt>
                <c:pt idx="50">
                  <c:v>0.6586986701098206</c:v>
                </c:pt>
                <c:pt idx="51">
                  <c:v>0.7016760703680571</c:v>
                </c:pt>
                <c:pt idx="52">
                  <c:v>0.7478767756456615</c:v>
                </c:pt>
                <c:pt idx="53">
                  <c:v>0.797542533819086</c:v>
                </c:pt>
                <c:pt idx="54">
                  <c:v>0.8509332238555175</c:v>
                </c:pt>
                <c:pt idx="55">
                  <c:v>0.9083282156446812</c:v>
                </c:pt>
                <c:pt idx="56">
                  <c:v>0.9700278318180323</c:v>
                </c:pt>
                <c:pt idx="57">
                  <c:v>1.0363549192043846</c:v>
                </c:pt>
                <c:pt idx="58">
                  <c:v>1.1076565381447134</c:v>
                </c:pt>
                <c:pt idx="59">
                  <c:v>1.1843057785055668</c:v>
                </c:pt>
                <c:pt idx="60">
                  <c:v>1.2667037118934843</c:v>
                </c:pt>
                <c:pt idx="61">
                  <c:v>1.3552814902854955</c:v>
                </c:pt>
                <c:pt idx="62">
                  <c:v>1.4505026020569076</c:v>
                </c:pt>
                <c:pt idx="63">
                  <c:v>1.5528652972111756</c:v>
                </c:pt>
                <c:pt idx="64">
                  <c:v>1.6629051945020137</c:v>
                </c:pt>
                <c:pt idx="65">
                  <c:v>1.7811980840896646</c:v>
                </c:pt>
                <c:pt idx="66">
                  <c:v>1.9083629403963895</c:v>
                </c:pt>
                <c:pt idx="67">
                  <c:v>2.045065160926119</c:v>
                </c:pt>
                <c:pt idx="68">
                  <c:v>2.1920200479955776</c:v>
                </c:pt>
                <c:pt idx="69">
                  <c:v>2.349996551595246</c:v>
                </c:pt>
                <c:pt idx="70">
                  <c:v>2.5198212929648895</c:v>
                </c:pt>
                <c:pt idx="71">
                  <c:v>2.7023828899372564</c:v>
                </c:pt>
                <c:pt idx="72">
                  <c:v>2.8986366066825506</c:v>
                </c:pt>
                <c:pt idx="73">
                  <c:v>3.109609352183742</c:v>
                </c:pt>
                <c:pt idx="74">
                  <c:v>3.3364050535975225</c:v>
                </c:pt>
                <c:pt idx="75">
                  <c:v>3.5802104326173367</c:v>
                </c:pt>
                <c:pt idx="76">
                  <c:v>3.842301215063637</c:v>
                </c:pt>
                <c:pt idx="77">
                  <c:v>4.12404880619341</c:v>
                </c:pt>
                <c:pt idx="78">
                  <c:v>4.426927466657916</c:v>
                </c:pt>
                <c:pt idx="79">
                  <c:v>4.752522026657259</c:v>
                </c:pt>
                <c:pt idx="80">
                  <c:v>5.102536178656553</c:v>
                </c:pt>
                <c:pt idx="81">
                  <c:v>5.478801392055795</c:v>
                </c:pt>
                <c:pt idx="82">
                  <c:v>5.883286496459979</c:v>
                </c:pt>
                <c:pt idx="83">
                  <c:v>6.318107983694477</c:v>
                </c:pt>
                <c:pt idx="84">
                  <c:v>6.785541082471563</c:v>
                </c:pt>
                <c:pt idx="85">
                  <c:v>7.2880316636569304</c:v>
                </c:pt>
                <c:pt idx="86">
                  <c:v>7.8282090384312</c:v>
                </c:pt>
                <c:pt idx="87">
                  <c:v>8.40889971631354</c:v>
                </c:pt>
                <c:pt idx="88">
                  <c:v>9.033142195037055</c:v>
                </c:pt>
                <c:pt idx="89">
                  <c:v>9.704202859664834</c:v>
                </c:pt>
                <c:pt idx="90">
                  <c:v>10.425593074139696</c:v>
                </c:pt>
                <c:pt idx="91">
                  <c:v>11.201087554700173</c:v>
                </c:pt>
                <c:pt idx="92">
                  <c:v>12.034744121302685</c:v>
                </c:pt>
                <c:pt idx="93">
                  <c:v>12.930924930400387</c:v>
                </c:pt>
                <c:pt idx="94">
                  <c:v>13.894319300180415</c:v>
                </c:pt>
                <c:pt idx="95">
                  <c:v>14.929968247693946</c:v>
                </c:pt>
                <c:pt idx="96">
                  <c:v>16.04329086627099</c:v>
                </c:pt>
                <c:pt idx="97">
                  <c:v>17.240112681241314</c:v>
                </c:pt>
                <c:pt idx="98">
                  <c:v>18.52669613233441</c:v>
                </c:pt>
              </c:numCache>
            </c:numRef>
          </c:xVal>
          <c:yVal>
            <c:numRef>
              <c:f>PlotTable!$K$7:$K$105</c:f>
              <c:numCache>
                <c:ptCount val="99"/>
                <c:pt idx="0">
                  <c:v>3.6021001705484728</c:v>
                </c:pt>
                <c:pt idx="1">
                  <c:v>3.591584859820532</c:v>
                </c:pt>
                <c:pt idx="2">
                  <c:v>3.5804129323166873</c:v>
                </c:pt>
                <c:pt idx="3">
                  <c:v>3.5685520463633162</c:v>
                </c:pt>
                <c:pt idx="4">
                  <c:v>3.555969348964323</c:v>
                </c:pt>
                <c:pt idx="5">
                  <c:v>3.542631606382781</c:v>
                </c:pt>
                <c:pt idx="6">
                  <c:v>3.528505350698865</c:v>
                </c:pt>
                <c:pt idx="7">
                  <c:v>3.5135570421383147</c:v>
                </c:pt>
                <c:pt idx="8">
                  <c:v>3.497753246634342</c:v>
                </c:pt>
                <c:pt idx="9">
                  <c:v>3.4810608277208677</c:v>
                </c:pt>
                <c:pt idx="10">
                  <c:v>3.463447151463975</c:v>
                </c:pt>
                <c:pt idx="11">
                  <c:v>3.444880302730845</c:v>
                </c:pt>
                <c:pt idx="12">
                  <c:v>3.4253293106834897</c:v>
                </c:pt>
                <c:pt idx="13">
                  <c:v>3.4047643809824626</c:v>
                </c:pt>
                <c:pt idx="14">
                  <c:v>3.383157131809292</c:v>
                </c:pt>
                <c:pt idx="15">
                  <c:v>3.36048083048306</c:v>
                </c:pt>
                <c:pt idx="16">
                  <c:v>3.3367106271733835</c:v>
                </c:pt>
                <c:pt idx="17">
                  <c:v>3.311823782016403</c:v>
                </c:pt>
                <c:pt idx="18">
                  <c:v>3.2857998818371796</c:v>
                </c:pt>
                <c:pt idx="19">
                  <c:v>3.258621042683976</c:v>
                </c:pt>
                <c:pt idx="20">
                  <c:v>3.230272094496015</c:v>
                </c:pt>
                <c:pt idx="21">
                  <c:v>3.200740744460854</c:v>
                </c:pt>
                <c:pt idx="22">
                  <c:v>3.1700177159693705</c:v>
                </c:pt>
                <c:pt idx="23">
                  <c:v>3.1380968605391653</c:v>
                </c:pt>
                <c:pt idx="24">
                  <c:v>3.1049752406385513</c:v>
                </c:pt>
                <c:pt idx="25">
                  <c:v>3.0706531819859695</c:v>
                </c:pt>
                <c:pt idx="26">
                  <c:v>3.0351342946018893</c:v>
                </c:pt>
                <c:pt idx="27">
                  <c:v>2.9984254626268436</c:v>
                </c:pt>
                <c:pt idx="28">
                  <c:v>2.960536803663403</c:v>
                </c:pt>
                <c:pt idx="29">
                  <c:v>2.9214815991241676</c:v>
                </c:pt>
                <c:pt idx="30">
                  <c:v>2.8812761977462205</c:v>
                </c:pt>
                <c:pt idx="31">
                  <c:v>2.83993989504141</c:v>
                </c:pt>
                <c:pt idx="32">
                  <c:v>2.7974947919718227</c:v>
                </c:pt>
                <c:pt idx="33">
                  <c:v>2.7539656365560665</c:v>
                </c:pt>
                <c:pt idx="34">
                  <c:v>2.709379652415336</c:v>
                </c:pt>
                <c:pt idx="35">
                  <c:v>2.6637663584547995</c:v>
                </c:pt>
                <c:pt idx="36">
                  <c:v>2.6171573839474243</c:v>
                </c:pt>
                <c:pt idx="37">
                  <c:v>2.56958628325035</c:v>
                </c:pt>
                <c:pt idx="38">
                  <c:v>2.5210883542487594</c:v>
                </c:pt>
                <c:pt idx="39">
                  <c:v>2.471700464402546</c:v>
                </c:pt>
                <c:pt idx="40">
                  <c:v>2.4214608879820774</c:v>
                </c:pt>
                <c:pt idx="41">
                  <c:v>2.3704091577374804</c:v>
                </c:pt>
                <c:pt idx="42">
                  <c:v>2.318585933866926</c:v>
                </c:pt>
                <c:pt idx="43">
                  <c:v>2.266032892748403</c:v>
                </c:pt>
                <c:pt idx="44">
                  <c:v>2.212792637489435</c:v>
                </c:pt>
                <c:pt idx="45">
                  <c:v>2.1589086319408097</c:v>
                </c:pt>
                <c:pt idx="46">
                  <c:v>2.104425159421613</c:v>
                </c:pt>
                <c:pt idx="47">
                  <c:v>2.049387307018713</c:v>
                </c:pt>
                <c:pt idx="48">
                  <c:v>1.9938409759564268</c:v>
                </c:pt>
                <c:pt idx="49">
                  <c:v>1.9378329181806495</c:v>
                </c:pt>
                <c:pt idx="50">
                  <c:v>1.881410798962864</c:v>
                </c:pt>
                <c:pt idx="51">
                  <c:v>1.8246232849974213</c:v>
                </c:pt>
                <c:pt idx="52">
                  <c:v>1.767520157132387</c:v>
                </c:pt>
                <c:pt idx="53">
                  <c:v>1.7101524465306204</c:v>
                </c:pt>
                <c:pt idx="54">
                  <c:v>1.6525725926925936</c:v>
                </c:pt>
                <c:pt idx="55">
                  <c:v>1.5948346213739566</c:v>
                </c:pt>
                <c:pt idx="56">
                  <c:v>1.5369943399865993</c:v>
                </c:pt>
                <c:pt idx="57">
                  <c:v>1.4791095475694254</c:v>
                </c:pt>
                <c:pt idx="58">
                  <c:v>1.4212402558423307</c:v>
                </c:pt>
                <c:pt idx="59">
                  <c:v>1.3634489172029607</c:v>
                </c:pt>
                <c:pt idx="60">
                  <c:v>1.3058006547818488</c:v>
                </c:pt>
                <c:pt idx="61">
                  <c:v>1.2483634888310937</c:v>
                </c:pt>
                <c:pt idx="62">
                  <c:v>1.1912085527827452</c:v>
                </c:pt>
                <c:pt idx="63">
                  <c:v>1.1344102912783367</c:v>
                </c:pt>
                <c:pt idx="64">
                  <c:v>1.0780466313505346</c:v>
                </c:pt>
                <c:pt idx="65">
                  <c:v>1.022199116750146</c:v>
                </c:pt>
                <c:pt idx="66">
                  <c:v>0.9669529941862639</c:v>
                </c:pt>
                <c:pt idx="67">
                  <c:v>0.9123972390266062</c:v>
                </c:pt>
                <c:pt idx="68">
                  <c:v>0.8586245068472299</c:v>
                </c:pt>
                <c:pt idx="69">
                  <c:v>0.8057309962017165</c:v>
                </c:pt>
                <c:pt idx="70">
                  <c:v>0.7538162071955118</c:v>
                </c:pt>
                <c:pt idx="71">
                  <c:v>0.7029825800187104</c:v>
                </c:pt>
                <c:pt idx="72">
                  <c:v>0.6533349976494662</c:v>
                </c:pt>
                <c:pt idx="73">
                  <c:v>0.6049801376504496</c:v>
                </c:pt>
                <c:pt idx="74">
                  <c:v>0.5580256595199921</c:v>
                </c:pt>
                <c:pt idx="75">
                  <c:v>0.5125792166165806</c:v>
                </c:pt>
                <c:pt idx="76">
                  <c:v>0.46874728544007205</c:v>
                </c:pt>
                <c:pt idx="77">
                  <c:v>0.42663381020154195</c:v>
                </c:pt>
                <c:pt idx="78">
                  <c:v>0.38633866728794564</c:v>
                </c:pt>
                <c:pt idx="79">
                  <c:v>0.34795596250906424</c:v>
                </c:pt>
                <c:pt idx="80">
                  <c:v>0.3115721838905442</c:v>
                </c:pt>
                <c:pt idx="81">
                  <c:v>0.2772642441048998</c:v>
                </c:pt>
                <c:pt idx="82">
                  <c:v>0.24509745909706823</c:v>
                </c:pt>
                <c:pt idx="83">
                  <c:v>0.2151235225407663</c:v>
                </c:pt>
                <c:pt idx="84">
                  <c:v>0.18737854871975163</c:v>
                </c:pt>
                <c:pt idx="85">
                  <c:v>0.16188126838719138</c:v>
                </c:pt>
                <c:pt idx="86">
                  <c:v>0.13863147240676205</c:v>
                </c:pt>
                <c:pt idx="87">
                  <c:v>0.11760880691148211</c:v>
                </c:pt>
                <c:pt idx="88">
                  <c:v>0.0987720153703534</c:v>
                </c:pt>
                <c:pt idx="89">
                  <c:v>0.08205875620259323</c:v>
                </c:pt>
                <c:pt idx="90">
                  <c:v>0.06738596014973211</c:v>
                </c:pt>
                <c:pt idx="91">
                  <c:v>0.054650970044178786</c:v>
                </c:pt>
                <c:pt idx="92">
                  <c:v>0.043733356442574416</c:v>
                </c:pt>
                <c:pt idx="93">
                  <c:v>0.034497422369241984</c:v>
                </c:pt>
                <c:pt idx="94">
                  <c:v>0.02679535039337468</c:v>
                </c:pt>
                <c:pt idx="95">
                  <c:v>0.020470877401700394</c:v>
                </c:pt>
                <c:pt idx="96">
                  <c:v>0.01536333708744698</c:v>
                </c:pt>
                <c:pt idx="97">
                  <c:v>0.01131187003925926</c:v>
                </c:pt>
                <c:pt idx="98">
                  <c:v>0.008159573223009326</c:v>
                </c:pt>
              </c:numCache>
            </c:numRef>
          </c:yVal>
          <c:smooth val="1"/>
        </c:ser>
        <c:ser>
          <c:idx val="1"/>
          <c:order val="1"/>
          <c:tx>
            <c:v>At the pile base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PlotTable!$I$7:$I$105</c:f>
              <c:numCache>
                <c:ptCount val="99"/>
                <c:pt idx="0">
                  <c:v>0.10107500000000001</c:v>
                </c:pt>
                <c:pt idx="1">
                  <c:v>0.102230625</c:v>
                </c:pt>
                <c:pt idx="2">
                  <c:v>0.10347292187500001</c:v>
                </c:pt>
                <c:pt idx="3">
                  <c:v>0.10480839101562502</c:v>
                </c:pt>
                <c:pt idx="4">
                  <c:v>0.10624402034179689</c:v>
                </c:pt>
                <c:pt idx="5">
                  <c:v>0.10778732186743166</c:v>
                </c:pt>
                <c:pt idx="6">
                  <c:v>0.10944637100748904</c:v>
                </c:pt>
                <c:pt idx="7">
                  <c:v>0.11122984883305072</c:v>
                </c:pt>
                <c:pt idx="8">
                  <c:v>0.11314708749552951</c:v>
                </c:pt>
                <c:pt idx="9">
                  <c:v>0.11520811905769422</c:v>
                </c:pt>
                <c:pt idx="10">
                  <c:v>0.11742372798702129</c:v>
                </c:pt>
                <c:pt idx="11">
                  <c:v>0.11980550758604788</c:v>
                </c:pt>
                <c:pt idx="12">
                  <c:v>0.12236592065500147</c:v>
                </c:pt>
                <c:pt idx="13">
                  <c:v>0.12511836470412657</c:v>
                </c:pt>
                <c:pt idx="14">
                  <c:v>0.12807724205693607</c:v>
                </c:pt>
                <c:pt idx="15">
                  <c:v>0.13125803521120627</c:v>
                </c:pt>
                <c:pt idx="16">
                  <c:v>0.13467738785204675</c:v>
                </c:pt>
                <c:pt idx="17">
                  <c:v>0.13835319194095025</c:v>
                </c:pt>
                <c:pt idx="18">
                  <c:v>0.14230468133652152</c:v>
                </c:pt>
                <c:pt idx="19">
                  <c:v>0.14655253243676064</c:v>
                </c:pt>
                <c:pt idx="20">
                  <c:v>0.15111897236951768</c:v>
                </c:pt>
                <c:pt idx="21">
                  <c:v>0.15602789529723152</c:v>
                </c:pt>
                <c:pt idx="22">
                  <c:v>0.16130498744452387</c:v>
                </c:pt>
                <c:pt idx="23">
                  <c:v>0.16697786150286315</c:v>
                </c:pt>
                <c:pt idx="24">
                  <c:v>0.17307620111557787</c:v>
                </c:pt>
                <c:pt idx="25">
                  <c:v>0.1796319161992462</c:v>
                </c:pt>
                <c:pt idx="26">
                  <c:v>0.18667930991418966</c:v>
                </c:pt>
                <c:pt idx="27">
                  <c:v>0.19425525815775388</c:v>
                </c:pt>
                <c:pt idx="28">
                  <c:v>0.2023994025195854</c:v>
                </c:pt>
                <c:pt idx="29">
                  <c:v>0.2111543577085543</c:v>
                </c:pt>
                <c:pt idx="30">
                  <c:v>0.22056593453669587</c:v>
                </c:pt>
                <c:pt idx="31">
                  <c:v>0.23068337962694807</c:v>
                </c:pt>
                <c:pt idx="32">
                  <c:v>0.24155963309896916</c:v>
                </c:pt>
                <c:pt idx="33">
                  <c:v>0.25325160558139187</c:v>
                </c:pt>
                <c:pt idx="34">
                  <c:v>0.26582047599999625</c:v>
                </c:pt>
                <c:pt idx="35">
                  <c:v>0.27933201169999594</c:v>
                </c:pt>
                <c:pt idx="36">
                  <c:v>0.29385691257749563</c:v>
                </c:pt>
                <c:pt idx="37">
                  <c:v>0.3094711810208078</c:v>
                </c:pt>
                <c:pt idx="38">
                  <c:v>0.32625651959736834</c:v>
                </c:pt>
                <c:pt idx="39">
                  <c:v>0.34430075856717096</c:v>
                </c:pt>
                <c:pt idx="40">
                  <c:v>0.36369831545970877</c:v>
                </c:pt>
                <c:pt idx="41">
                  <c:v>0.38455068911918694</c:v>
                </c:pt>
                <c:pt idx="42">
                  <c:v>0.4069669908031259</c:v>
                </c:pt>
                <c:pt idx="43">
                  <c:v>0.43106451511336036</c:v>
                </c:pt>
                <c:pt idx="44">
                  <c:v>0.4569693537468624</c:v>
                </c:pt>
                <c:pt idx="45">
                  <c:v>0.48481705527787705</c:v>
                </c:pt>
                <c:pt idx="46">
                  <c:v>0.5147533344237178</c:v>
                </c:pt>
                <c:pt idx="47">
                  <c:v>0.5469348345054966</c:v>
                </c:pt>
                <c:pt idx="48">
                  <c:v>0.5815299470934089</c:v>
                </c:pt>
                <c:pt idx="49">
                  <c:v>0.6187196931254145</c:v>
                </c:pt>
                <c:pt idx="50">
                  <c:v>0.6586986701098206</c:v>
                </c:pt>
                <c:pt idx="51">
                  <c:v>0.7016760703680571</c:v>
                </c:pt>
                <c:pt idx="52">
                  <c:v>0.7478767756456615</c:v>
                </c:pt>
                <c:pt idx="53">
                  <c:v>0.797542533819086</c:v>
                </c:pt>
                <c:pt idx="54">
                  <c:v>0.8509332238555175</c:v>
                </c:pt>
                <c:pt idx="55">
                  <c:v>0.9083282156446812</c:v>
                </c:pt>
                <c:pt idx="56">
                  <c:v>0.9700278318180323</c:v>
                </c:pt>
                <c:pt idx="57">
                  <c:v>1.0363549192043846</c:v>
                </c:pt>
                <c:pt idx="58">
                  <c:v>1.1076565381447134</c:v>
                </c:pt>
                <c:pt idx="59">
                  <c:v>1.1843057785055668</c:v>
                </c:pt>
                <c:pt idx="60">
                  <c:v>1.2667037118934843</c:v>
                </c:pt>
                <c:pt idx="61">
                  <c:v>1.3552814902854955</c:v>
                </c:pt>
                <c:pt idx="62">
                  <c:v>1.4505026020569076</c:v>
                </c:pt>
                <c:pt idx="63">
                  <c:v>1.5528652972111756</c:v>
                </c:pt>
                <c:pt idx="64">
                  <c:v>1.6629051945020137</c:v>
                </c:pt>
                <c:pt idx="65">
                  <c:v>1.7811980840896646</c:v>
                </c:pt>
                <c:pt idx="66">
                  <c:v>1.9083629403963895</c:v>
                </c:pt>
                <c:pt idx="67">
                  <c:v>2.045065160926119</c:v>
                </c:pt>
                <c:pt idx="68">
                  <c:v>2.1920200479955776</c:v>
                </c:pt>
                <c:pt idx="69">
                  <c:v>2.349996551595246</c:v>
                </c:pt>
                <c:pt idx="70">
                  <c:v>2.5198212929648895</c:v>
                </c:pt>
                <c:pt idx="71">
                  <c:v>2.7023828899372564</c:v>
                </c:pt>
                <c:pt idx="72">
                  <c:v>2.8986366066825506</c:v>
                </c:pt>
                <c:pt idx="73">
                  <c:v>3.109609352183742</c:v>
                </c:pt>
                <c:pt idx="74">
                  <c:v>3.3364050535975225</c:v>
                </c:pt>
                <c:pt idx="75">
                  <c:v>3.5802104326173367</c:v>
                </c:pt>
                <c:pt idx="76">
                  <c:v>3.842301215063637</c:v>
                </c:pt>
                <c:pt idx="77">
                  <c:v>4.12404880619341</c:v>
                </c:pt>
                <c:pt idx="78">
                  <c:v>4.426927466657916</c:v>
                </c:pt>
                <c:pt idx="79">
                  <c:v>4.752522026657259</c:v>
                </c:pt>
                <c:pt idx="80">
                  <c:v>5.102536178656553</c:v>
                </c:pt>
                <c:pt idx="81">
                  <c:v>5.478801392055795</c:v>
                </c:pt>
                <c:pt idx="82">
                  <c:v>5.883286496459979</c:v>
                </c:pt>
                <c:pt idx="83">
                  <c:v>6.318107983694477</c:v>
                </c:pt>
                <c:pt idx="84">
                  <c:v>6.785541082471563</c:v>
                </c:pt>
                <c:pt idx="85">
                  <c:v>7.2880316636569304</c:v>
                </c:pt>
                <c:pt idx="86">
                  <c:v>7.8282090384312</c:v>
                </c:pt>
                <c:pt idx="87">
                  <c:v>8.40889971631354</c:v>
                </c:pt>
                <c:pt idx="88">
                  <c:v>9.033142195037055</c:v>
                </c:pt>
                <c:pt idx="89">
                  <c:v>9.704202859664834</c:v>
                </c:pt>
                <c:pt idx="90">
                  <c:v>10.425593074139696</c:v>
                </c:pt>
                <c:pt idx="91">
                  <c:v>11.201087554700173</c:v>
                </c:pt>
                <c:pt idx="92">
                  <c:v>12.034744121302685</c:v>
                </c:pt>
                <c:pt idx="93">
                  <c:v>12.930924930400387</c:v>
                </c:pt>
                <c:pt idx="94">
                  <c:v>13.894319300180415</c:v>
                </c:pt>
                <c:pt idx="95">
                  <c:v>14.929968247693946</c:v>
                </c:pt>
                <c:pt idx="96">
                  <c:v>16.04329086627099</c:v>
                </c:pt>
                <c:pt idx="97">
                  <c:v>17.240112681241314</c:v>
                </c:pt>
                <c:pt idx="98">
                  <c:v>18.52669613233441</c:v>
                </c:pt>
              </c:numCache>
            </c:numRef>
          </c:xVal>
          <c:yVal>
            <c:numRef>
              <c:f>PlotTable!$L$7:$L$105</c:f>
              <c:numCache>
                <c:ptCount val="99"/>
                <c:pt idx="0">
                  <c:v>0.13091828139868944</c:v>
                </c:pt>
                <c:pt idx="1">
                  <c:v>0.1305361025741995</c:v>
                </c:pt>
                <c:pt idx="2">
                  <c:v>0.13013005902197608</c:v>
                </c:pt>
                <c:pt idx="3">
                  <c:v>0.12969897528433402</c:v>
                </c:pt>
                <c:pt idx="4">
                  <c:v>0.12924165731957982</c:v>
                </c:pt>
                <c:pt idx="5">
                  <c:v>0.12875689724799977</c:v>
                </c:pt>
                <c:pt idx="6">
                  <c:v>0.12824347867850586</c:v>
                </c:pt>
                <c:pt idx="7">
                  <c:v>0.12770018260846164</c:v>
                </c:pt>
                <c:pt idx="8">
                  <c:v>0.1271257938771673</c:v>
                </c:pt>
                <c:pt idx="9">
                  <c:v>0.12651910814021672</c:v>
                </c:pt>
                <c:pt idx="10">
                  <c:v>0.12587893931772834</c:v>
                </c:pt>
                <c:pt idx="11">
                  <c:v>0.12520412745463658</c:v>
                </c:pt>
                <c:pt idx="12">
                  <c:v>0.12449354691625877</c:v>
                </c:pt>
                <c:pt idx="13">
                  <c:v>0.12374611482773543</c:v>
                </c:pt>
                <c:pt idx="14">
                  <c:v>0.12296079965226267</c:v>
                </c:pt>
                <c:pt idx="15">
                  <c:v>0.12213662979091838</c:v>
                </c:pt>
                <c:pt idx="16">
                  <c:v>0.12127270207695745</c:v>
                </c:pt>
                <c:pt idx="17">
                  <c:v>0.12036819003033908</c:v>
                </c:pt>
                <c:pt idx="18">
                  <c:v>0.11942235173449951</c:v>
                </c:pt>
                <c:pt idx="19">
                  <c:v>0.11843453719745763</c:v>
                </c:pt>
                <c:pt idx="20">
                  <c:v>0.11740419506356209</c:v>
                </c:pt>
                <c:pt idx="21">
                  <c:v>0.11633087855071295</c:v>
                </c:pt>
                <c:pt idx="22">
                  <c:v>0.11521425050067859</c:v>
                </c:pt>
                <c:pt idx="23">
                  <c:v>0.11405408744695036</c:v>
                </c:pt>
                <c:pt idx="24">
                  <c:v>0.1128502826249793</c:v>
                </c:pt>
                <c:pt idx="25">
                  <c:v>0.11160284787299769</c:v>
                </c:pt>
                <c:pt idx="26">
                  <c:v>0.1103119143971501</c:v>
                </c:pt>
                <c:pt idx="27">
                  <c:v>0.10897773240142995</c:v>
                </c:pt>
                <c:pt idx="28">
                  <c:v>0.10760066960996421</c:v>
                </c:pt>
                <c:pt idx="29">
                  <c:v>0.10618120873551207</c:v>
                </c:pt>
                <c:pt idx="30">
                  <c:v>0.10471994397269901</c:v>
                </c:pt>
                <c:pt idx="31">
                  <c:v>0.10321757661663913</c:v>
                </c:pt>
                <c:pt idx="32">
                  <c:v>0.10167490992649694</c:v>
                </c:pt>
                <c:pt idx="33">
                  <c:v>0.10009284336867007</c:v>
                </c:pt>
                <c:pt idx="34">
                  <c:v>0.0984723663852982</c:v>
                </c:pt>
                <c:pt idx="35">
                  <c:v>0.0968145518405857</c:v>
                </c:pt>
                <c:pt idx="36">
                  <c:v>0.09512054930002564</c:v>
                </c:pt>
                <c:pt idx="37">
                  <c:v>0.09339157829626907</c:v>
                </c:pt>
                <c:pt idx="38">
                  <c:v>0.0916289217304698</c:v>
                </c:pt>
                <c:pt idx="39">
                  <c:v>0.08983391954995311</c:v>
                </c:pt>
                <c:pt idx="40">
                  <c:v>0.08800796283255168</c:v>
                </c:pt>
                <c:pt idx="41">
                  <c:v>0.08615248839552778</c:v>
                </c:pt>
                <c:pt idx="42">
                  <c:v>0.08426897403322743</c:v>
                </c:pt>
                <c:pt idx="43">
                  <c:v>0.08235893447303827</c:v>
                </c:pt>
                <c:pt idx="44">
                  <c:v>0.08042391812432015</c:v>
                </c:pt>
                <c:pt idx="45">
                  <c:v>0.07846550468013509</c:v>
                </c:pt>
                <c:pt idx="46">
                  <c:v>0.07648530361710915</c:v>
                </c:pt>
                <c:pt idx="47">
                  <c:v>0.07448495362479751</c:v>
                </c:pt>
                <c:pt idx="48">
                  <c:v>0.07246612298256974</c:v>
                </c:pt>
                <c:pt idx="49">
                  <c:v>0.07043051088925953</c:v>
                </c:pt>
                <c:pt idx="50">
                  <c:v>0.06837984973850653</c:v>
                </c:pt>
                <c:pt idx="51">
                  <c:v>0.0663159083206509</c:v>
                </c:pt>
                <c:pt idx="52">
                  <c:v>0.06424049591993425</c:v>
                </c:pt>
                <c:pt idx="53">
                  <c:v>0.062155467263272236</c:v>
                </c:pt>
                <c:pt idx="54">
                  <c:v>0.060062728263591846</c:v>
                </c:pt>
                <c:pt idx="55">
                  <c:v>0.057964242486242726</c:v>
                </c:pt>
                <c:pt idx="56">
                  <c:v>0.055862038250846235</c:v>
                </c:pt>
                <c:pt idx="57">
                  <c:v>0.053758216262680264</c:v>
                </c:pt>
                <c:pt idx="58">
                  <c:v>0.05165495764688306</c:v>
                </c:pt>
                <c:pt idx="59">
                  <c:v>0.049554532234992316</c:v>
                </c:pt>
                <c:pt idx="60">
                  <c:v>0.04745930692629596</c:v>
                </c:pt>
                <c:pt idx="61">
                  <c:v>0.045371753915925565</c:v>
                </c:pt>
                <c:pt idx="62">
                  <c:v>0.04329445854749542</c:v>
                </c:pt>
                <c:pt idx="63">
                  <c:v>0.041230126510483175</c:v>
                </c:pt>
                <c:pt idx="64">
                  <c:v>0.039181590061824534</c:v>
                </c:pt>
                <c:pt idx="65">
                  <c:v>0.037151812908026556</c:v>
                </c:pt>
                <c:pt idx="66">
                  <c:v>0.0351438933395645</c:v>
                </c:pt>
                <c:pt idx="67">
                  <c:v>0.033161065164960306</c:v>
                </c:pt>
                <c:pt idx="68">
                  <c:v>0.031206695949857654</c:v>
                </c:pt>
                <c:pt idx="69">
                  <c:v>0.029284282029369845</c:v>
                </c:pt>
                <c:pt idx="70">
                  <c:v>0.027397439733467505</c:v>
                </c:pt>
                <c:pt idx="71">
                  <c:v>0.025549892249457577</c:v>
                </c:pt>
                <c:pt idx="72">
                  <c:v>0.023745451547745603</c:v>
                </c:pt>
                <c:pt idx="73">
                  <c:v>0.021987994822886787</c:v>
                </c:pt>
                <c:pt idx="74">
                  <c:v>0.020281434957874524</c:v>
                </c:pt>
                <c:pt idx="75">
                  <c:v>0.01862968461254963</c:v>
                </c:pt>
                <c:pt idx="76">
                  <c:v>0.017036613673842124</c:v>
                </c:pt>
                <c:pt idx="77">
                  <c:v>0.015505999992680911</c:v>
                </c:pt>
                <c:pt idx="78">
                  <c:v>0.01404147357498294</c:v>
                </c:pt>
                <c:pt idx="79">
                  <c:v>0.01264645469511673</c:v>
                </c:pt>
                <c:pt idx="80">
                  <c:v>0.011324086759190688</c:v>
                </c:pt>
                <c:pt idx="81">
                  <c:v>0.010077165157234686</c:v>
                </c:pt>
                <c:pt idx="82">
                  <c:v>0.008908063796373525</c:v>
                </c:pt>
                <c:pt idx="83">
                  <c:v>0.007818661482470941</c:v>
                </c:pt>
                <c:pt idx="84">
                  <c:v>0.006810270788675827</c:v>
                </c:pt>
                <c:pt idx="85">
                  <c:v>0.00588357248395569</c:v>
                </c:pt>
                <c:pt idx="86">
                  <c:v>0.005038558967253709</c:v>
                </c:pt>
                <c:pt idx="87">
                  <c:v>0.004274490477553017</c:v>
                </c:pt>
                <c:pt idx="88">
                  <c:v>0.003589867546799139</c:v>
                </c:pt>
                <c:pt idx="89">
                  <c:v>0.002982424371091761</c:v>
                </c:pt>
                <c:pt idx="90">
                  <c:v>0.0024491417993687315</c:v>
                </c:pt>
                <c:pt idx="91">
                  <c:v>0.001986288758278957</c:v>
                </c:pt>
                <c:pt idx="92">
                  <c:v>0.0015894882413518094</c:v>
                </c:pt>
                <c:pt idx="93">
                  <c:v>0.0012538083438635148</c:v>
                </c:pt>
                <c:pt idx="94">
                  <c:v>0.0009738766433144932</c:v>
                </c:pt>
                <c:pt idx="95">
                  <c:v>0.0007440137589915534</c:v>
                </c:pt>
                <c:pt idx="96">
                  <c:v>0.0005583802761740102</c:v>
                </c:pt>
                <c:pt idx="97">
                  <c:v>0.00041112976175775105</c:v>
                </c:pt>
                <c:pt idx="98">
                  <c:v>0.0002965595771148395</c:v>
                </c:pt>
              </c:numCache>
            </c:numRef>
          </c:yVal>
          <c:smooth val="1"/>
        </c:ser>
        <c:axId val="26686299"/>
        <c:axId val="38850100"/>
      </c:scatterChart>
      <c:valAx>
        <c:axId val="266862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Radial distance from pile axis (m)</a:t>
                </a:r>
              </a:p>
            </c:rich>
          </c:tx>
          <c:layout>
            <c:manualLayout>
              <c:xMode val="factor"/>
              <c:yMode val="factor"/>
              <c:x val="0.25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50100"/>
        <c:crosses val="autoZero"/>
        <c:crossBetween val="midCat"/>
        <c:dispUnits/>
      </c:valAx>
      <c:valAx>
        <c:axId val="3885010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soil displacement (mm)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86299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525"/>
          <c:y val="0.6315"/>
          <c:w val="0.56675"/>
          <c:h val="0.22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"/>
          <c:w val="0.8745"/>
          <c:h val="0.88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PlotTable!$G$5:$G$105</c:f>
              <c:numCache>
                <c:ptCount val="101"/>
                <c:pt idx="0">
                  <c:v>542</c:v>
                </c:pt>
                <c:pt idx="1">
                  <c:v>526.7550107678726</c:v>
                </c:pt>
                <c:pt idx="2">
                  <c:v>511.9496342213918</c:v>
                </c:pt>
                <c:pt idx="3">
                  <c:v>497.57151427240956</c:v>
                </c:pt>
                <c:pt idx="4">
                  <c:v>483.60865140730726</c:v>
                </c:pt>
                <c:pt idx="5">
                  <c:v>470.0493926725904</c:v>
                </c:pt>
                <c:pt idx="6">
                  <c:v>456.8824219497107</c:v>
                </c:pt>
                <c:pt idx="7">
                  <c:v>444.09675051099975</c:v>
                </c:pt>
                <c:pt idx="8">
                  <c:v>431.68170784883245</c:v>
                </c:pt>
                <c:pt idx="9">
                  <c:v>419.62693277036664</c:v>
                </c:pt>
                <c:pt idx="10">
                  <c:v>407.92236475042694</c:v>
                </c:pt>
                <c:pt idx="11">
                  <c:v>396.55823553531576</c:v>
                </c:pt>
                <c:pt idx="12">
                  <c:v>385.5250609905454</c:v>
                </c:pt>
                <c:pt idx="13">
                  <c:v>374.81363318568566</c:v>
                </c:pt>
                <c:pt idx="14">
                  <c:v>364.41501270972356</c:v>
                </c:pt>
                <c:pt idx="15">
                  <c:v>354.32052121052016</c:v>
                </c:pt>
                <c:pt idx="16">
                  <c:v>344.5217341521383</c:v>
                </c:pt>
                <c:pt idx="17">
                  <c:v>335.0104737839982</c:v>
                </c:pt>
                <c:pt idx="18">
                  <c:v>325.7788023159907</c:v>
                </c:pt>
                <c:pt idx="19">
                  <c:v>316.81901529385516</c:v>
                </c:pt>
                <c:pt idx="20">
                  <c:v>308.123635169291</c:v>
                </c:pt>
                <c:pt idx="21">
                  <c:v>299.68540505943776</c:v>
                </c:pt>
                <c:pt idx="22">
                  <c:v>291.49728269051553</c:v>
                </c:pt>
                <c:pt idx="23">
                  <c:v>283.5524345205715</c:v>
                </c:pt>
                <c:pt idx="24">
                  <c:v>275.84423003642667</c:v>
                </c:pt>
                <c:pt idx="25">
                  <c:v>268.36623622006397</c:v>
                </c:pt>
                <c:pt idx="26">
                  <c:v>261.1122121798399</c:v>
                </c:pt>
                <c:pt idx="27">
                  <c:v>254.07610394203837</c:v>
                </c:pt>
                <c:pt idx="28">
                  <c:v>247.25203939841975</c:v>
                </c:pt>
                <c:pt idx="29">
                  <c:v>240.63432340554985</c:v>
                </c:pt>
                <c:pt idx="30">
                  <c:v>234.21743303181722</c:v>
                </c:pt>
                <c:pt idx="31">
                  <c:v>227.99601294817313</c:v>
                </c:pt>
                <c:pt idx="32">
                  <c:v>221.96487095874744</c:v>
                </c:pt>
                <c:pt idx="33">
                  <c:v>216.11897366760977</c:v>
                </c:pt>
                <c:pt idx="34">
                  <c:v>210.4534422780602</c:v>
                </c:pt>
                <c:pt idx="35">
                  <c:v>204.96354852094368</c:v>
                </c:pt>
                <c:pt idx="36">
                  <c:v>199.64471070858906</c:v>
                </c:pt>
                <c:pt idx="37">
                  <c:v>194.49248991108124</c:v>
                </c:pt>
                <c:pt idx="38">
                  <c:v>189.50258625167396</c:v>
                </c:pt>
                <c:pt idx="39">
                  <c:v>184.67083531825145</c:v>
                </c:pt>
                <c:pt idx="40">
                  <c:v>179.99320468784524</c:v>
                </c:pt>
                <c:pt idx="41">
                  <c:v>175.46579056130412</c:v>
                </c:pt>
                <c:pt idx="42">
                  <c:v>171.08481450530996</c:v>
                </c:pt>
                <c:pt idx="43">
                  <c:v>166.84662029901938</c:v>
                </c:pt>
                <c:pt idx="44">
                  <c:v>162.74767088270016</c:v>
                </c:pt>
                <c:pt idx="45">
                  <c:v>158.7845454058157</c:v>
                </c:pt>
                <c:pt idx="46">
                  <c:v>154.9539363720939</c:v>
                </c:pt>
                <c:pt idx="47">
                  <c:v>151.25264687919756</c:v>
                </c:pt>
                <c:pt idx="48">
                  <c:v>147.67758795069363</c:v>
                </c:pt>
                <c:pt idx="49">
                  <c:v>144.225775958093</c:v>
                </c:pt>
                <c:pt idx="50">
                  <c:v>140.89433013081086</c:v>
                </c:pt>
                <c:pt idx="51">
                  <c:v>137.68047015196876</c:v>
                </c:pt>
                <c:pt idx="52">
                  <c:v>134.58151383803227</c:v>
                </c:pt>
                <c:pt idx="53">
                  <c:v>131.59487490034718</c:v>
                </c:pt>
                <c:pt idx="54">
                  <c:v>128.7180607867069</c:v>
                </c:pt>
                <c:pt idx="55">
                  <c:v>125.94867060114885</c:v>
                </c:pt>
                <c:pt idx="56">
                  <c:v>123.28439310024447</c:v>
                </c:pt>
                <c:pt idx="57">
                  <c:v>120.72300476421039</c:v>
                </c:pt>
                <c:pt idx="58">
                  <c:v>118.26236794123045</c:v>
                </c:pt>
                <c:pt idx="59">
                  <c:v>115.90042906344102</c:v>
                </c:pt>
                <c:pt idx="60">
                  <c:v>113.63521693308948</c:v>
                </c:pt>
                <c:pt idx="61">
                  <c:v>111.46484107743649</c:v>
                </c:pt>
                <c:pt idx="62">
                  <c:v>109.38749017102847</c:v>
                </c:pt>
                <c:pt idx="63">
                  <c:v>107.40143052402424</c:v>
                </c:pt>
                <c:pt idx="64">
                  <c:v>103.54676615673976</c:v>
                </c:pt>
                <c:pt idx="65">
                  <c:v>99.26866364613771</c:v>
                </c:pt>
                <c:pt idx="66">
                  <c:v>95.15565621573242</c:v>
                </c:pt>
                <c:pt idx="67">
                  <c:v>91.20090346628174</c:v>
                </c:pt>
                <c:pt idx="68">
                  <c:v>87.39782819408059</c:v>
                </c:pt>
                <c:pt idx="69">
                  <c:v>83.74010545232309</c:v>
                </c:pt>
                <c:pt idx="70">
                  <c:v>80.22165203199631</c:v>
                </c:pt>
                <c:pt idx="71">
                  <c:v>76.83661634481186</c:v>
                </c:pt>
                <c:pt idx="72">
                  <c:v>73.57936869134882</c:v>
                </c:pt>
                <c:pt idx="73">
                  <c:v>70.44449189822325</c:v>
                </c:pt>
                <c:pt idx="74">
                  <c:v>67.42677230871239</c:v>
                </c:pt>
                <c:pt idx="75">
                  <c:v>64.52119111185075</c:v>
                </c:pt>
                <c:pt idx="76">
                  <c:v>61.722915995576344</c:v>
                </c:pt>
                <c:pt idx="77">
                  <c:v>59.02729311004611</c:v>
                </c:pt>
                <c:pt idx="78">
                  <c:v>56.42983932775408</c:v>
                </c:pt>
                <c:pt idx="79">
                  <c:v>53.92623478758053</c:v>
                </c:pt>
                <c:pt idx="80">
                  <c:v>51.512315710371404</c:v>
                </c:pt>
                <c:pt idx="81">
                  <c:v>49.18406747409999</c:v>
                </c:pt>
                <c:pt idx="82">
                  <c:v>46.93761793709363</c:v>
                </c:pt>
                <c:pt idx="83">
                  <c:v>44.76923099822188</c:v>
                </c:pt>
                <c:pt idx="84">
                  <c:v>42.67530038333516</c:v>
                </c:pt>
                <c:pt idx="85">
                  <c:v>40.65234364762063</c:v>
                </c:pt>
                <c:pt idx="86">
                  <c:v>38.696996383900334</c:v>
                </c:pt>
                <c:pt idx="87">
                  <c:v>36.80600662723932</c:v>
                </c:pt>
                <c:pt idx="88">
                  <c:v>34.97622944655807</c:v>
                </c:pt>
                <c:pt idx="89">
                  <c:v>33.2046217142542</c:v>
                </c:pt>
                <c:pt idx="90">
                  <c:v>31.48823704513532</c:v>
                </c:pt>
                <c:pt idx="91">
                  <c:v>29.82422089624503</c:v>
                </c:pt>
                <c:pt idx="92">
                  <c:v>28.209805819433473</c:v>
                </c:pt>
                <c:pt idx="93">
                  <c:v>26.642306858776127</c:v>
                </c:pt>
                <c:pt idx="94">
                  <c:v>25.11911708518664</c:v>
                </c:pt>
                <c:pt idx="95">
                  <c:v>23.637703260797338</c:v>
                </c:pt>
                <c:pt idx="96">
                  <c:v>22.195601625896355</c:v>
                </c:pt>
                <c:pt idx="97">
                  <c:v>20.790413801414967</c:v>
                </c:pt>
                <c:pt idx="98">
                  <c:v>19.41980280015047</c:v>
                </c:pt>
                <c:pt idx="99">
                  <c:v>18.08148914009047</c:v>
                </c:pt>
                <c:pt idx="100">
                  <c:v>16.98514294704582</c:v>
                </c:pt>
              </c:numCache>
            </c:numRef>
          </c:xVal>
          <c:yVal>
            <c:numRef>
              <c:f>PlotTable!$A$5:$A$105</c:f>
              <c:numCache>
                <c:ptCount val="101"/>
                <c:pt idx="0">
                  <c:v>0</c:v>
                </c:pt>
                <c:pt idx="1">
                  <c:v>0.19</c:v>
                </c:pt>
                <c:pt idx="2">
                  <c:v>0.38</c:v>
                </c:pt>
                <c:pt idx="3">
                  <c:v>0.5700000000000001</c:v>
                </c:pt>
                <c:pt idx="4">
                  <c:v>0.76</c:v>
                </c:pt>
                <c:pt idx="5">
                  <c:v>0.95</c:v>
                </c:pt>
                <c:pt idx="6">
                  <c:v>1.14</c:v>
                </c:pt>
                <c:pt idx="7">
                  <c:v>1.3299999999999998</c:v>
                </c:pt>
                <c:pt idx="8">
                  <c:v>1.5199999999999998</c:v>
                </c:pt>
                <c:pt idx="9">
                  <c:v>1.7099999999999997</c:v>
                </c:pt>
                <c:pt idx="10">
                  <c:v>1.8999999999999997</c:v>
                </c:pt>
                <c:pt idx="11">
                  <c:v>2.09</c:v>
                </c:pt>
                <c:pt idx="12">
                  <c:v>2.28</c:v>
                </c:pt>
                <c:pt idx="13">
                  <c:v>2.4699999999999998</c:v>
                </c:pt>
                <c:pt idx="14">
                  <c:v>2.6599999999999997</c:v>
                </c:pt>
                <c:pt idx="15">
                  <c:v>2.8499999999999996</c:v>
                </c:pt>
                <c:pt idx="16">
                  <c:v>3.0399999999999996</c:v>
                </c:pt>
                <c:pt idx="17">
                  <c:v>3.2299999999999995</c:v>
                </c:pt>
                <c:pt idx="18">
                  <c:v>3.4199999999999995</c:v>
                </c:pt>
                <c:pt idx="19">
                  <c:v>3.6099999999999994</c:v>
                </c:pt>
                <c:pt idx="20">
                  <c:v>3.7999999999999994</c:v>
                </c:pt>
                <c:pt idx="21">
                  <c:v>3.9899999999999993</c:v>
                </c:pt>
                <c:pt idx="22">
                  <c:v>4.18</c:v>
                </c:pt>
                <c:pt idx="23">
                  <c:v>4.37</c:v>
                </c:pt>
                <c:pt idx="24">
                  <c:v>4.5600000000000005</c:v>
                </c:pt>
                <c:pt idx="25">
                  <c:v>4.750000000000001</c:v>
                </c:pt>
                <c:pt idx="26">
                  <c:v>4.940000000000001</c:v>
                </c:pt>
                <c:pt idx="27">
                  <c:v>5.130000000000002</c:v>
                </c:pt>
                <c:pt idx="28">
                  <c:v>5.320000000000002</c:v>
                </c:pt>
                <c:pt idx="29">
                  <c:v>5.5100000000000025</c:v>
                </c:pt>
                <c:pt idx="30">
                  <c:v>5.700000000000003</c:v>
                </c:pt>
                <c:pt idx="31">
                  <c:v>5.890000000000003</c:v>
                </c:pt>
                <c:pt idx="32">
                  <c:v>6.080000000000004</c:v>
                </c:pt>
                <c:pt idx="33">
                  <c:v>6.270000000000004</c:v>
                </c:pt>
                <c:pt idx="34">
                  <c:v>6.460000000000004</c:v>
                </c:pt>
                <c:pt idx="35">
                  <c:v>6.650000000000005</c:v>
                </c:pt>
                <c:pt idx="36">
                  <c:v>6.840000000000005</c:v>
                </c:pt>
                <c:pt idx="37">
                  <c:v>7.030000000000006</c:v>
                </c:pt>
                <c:pt idx="38">
                  <c:v>7.220000000000006</c:v>
                </c:pt>
                <c:pt idx="39">
                  <c:v>7.410000000000006</c:v>
                </c:pt>
                <c:pt idx="40">
                  <c:v>7.600000000000007</c:v>
                </c:pt>
                <c:pt idx="41">
                  <c:v>7.790000000000007</c:v>
                </c:pt>
                <c:pt idx="42">
                  <c:v>7.9800000000000075</c:v>
                </c:pt>
                <c:pt idx="43">
                  <c:v>8.170000000000007</c:v>
                </c:pt>
                <c:pt idx="44">
                  <c:v>8.360000000000007</c:v>
                </c:pt>
                <c:pt idx="45">
                  <c:v>8.550000000000006</c:v>
                </c:pt>
                <c:pt idx="46">
                  <c:v>8.740000000000006</c:v>
                </c:pt>
                <c:pt idx="47">
                  <c:v>8.930000000000005</c:v>
                </c:pt>
                <c:pt idx="48">
                  <c:v>9.120000000000005</c:v>
                </c:pt>
                <c:pt idx="49">
                  <c:v>9.310000000000004</c:v>
                </c:pt>
                <c:pt idx="50">
                  <c:v>9.500000000000004</c:v>
                </c:pt>
                <c:pt idx="51">
                  <c:v>9.690000000000003</c:v>
                </c:pt>
                <c:pt idx="52">
                  <c:v>9.880000000000003</c:v>
                </c:pt>
                <c:pt idx="53">
                  <c:v>10.070000000000002</c:v>
                </c:pt>
                <c:pt idx="54">
                  <c:v>10.260000000000002</c:v>
                </c:pt>
                <c:pt idx="55">
                  <c:v>10.450000000000001</c:v>
                </c:pt>
                <c:pt idx="56">
                  <c:v>10.64</c:v>
                </c:pt>
                <c:pt idx="57">
                  <c:v>10.83</c:v>
                </c:pt>
                <c:pt idx="58">
                  <c:v>11.02</c:v>
                </c:pt>
                <c:pt idx="59">
                  <c:v>11.209999999999999</c:v>
                </c:pt>
                <c:pt idx="60">
                  <c:v>11.399999999999999</c:v>
                </c:pt>
                <c:pt idx="61">
                  <c:v>11.589999999999998</c:v>
                </c:pt>
                <c:pt idx="62">
                  <c:v>11.779999999999998</c:v>
                </c:pt>
                <c:pt idx="63">
                  <c:v>11.969999999999997</c:v>
                </c:pt>
                <c:pt idx="64">
                  <c:v>12.159999999999997</c:v>
                </c:pt>
                <c:pt idx="65">
                  <c:v>12.349999999999996</c:v>
                </c:pt>
                <c:pt idx="66">
                  <c:v>12.539999999999996</c:v>
                </c:pt>
                <c:pt idx="67">
                  <c:v>12.729999999999995</c:v>
                </c:pt>
                <c:pt idx="68">
                  <c:v>12.919999999999995</c:v>
                </c:pt>
                <c:pt idx="69">
                  <c:v>13.109999999999994</c:v>
                </c:pt>
                <c:pt idx="70">
                  <c:v>13.299999999999994</c:v>
                </c:pt>
                <c:pt idx="71">
                  <c:v>13.489999999999993</c:v>
                </c:pt>
                <c:pt idx="72">
                  <c:v>13.679999999999993</c:v>
                </c:pt>
                <c:pt idx="73">
                  <c:v>13.869999999999992</c:v>
                </c:pt>
                <c:pt idx="74">
                  <c:v>14.059999999999992</c:v>
                </c:pt>
                <c:pt idx="75">
                  <c:v>14.249999999999991</c:v>
                </c:pt>
                <c:pt idx="76">
                  <c:v>14.43999999999999</c:v>
                </c:pt>
                <c:pt idx="77">
                  <c:v>14.62999999999999</c:v>
                </c:pt>
                <c:pt idx="78">
                  <c:v>14.81999999999999</c:v>
                </c:pt>
                <c:pt idx="79">
                  <c:v>15.00999999999999</c:v>
                </c:pt>
                <c:pt idx="80">
                  <c:v>15.199999999999989</c:v>
                </c:pt>
                <c:pt idx="81">
                  <c:v>15.389999999999988</c:v>
                </c:pt>
                <c:pt idx="82">
                  <c:v>15.579999999999988</c:v>
                </c:pt>
                <c:pt idx="83">
                  <c:v>15.769999999999987</c:v>
                </c:pt>
                <c:pt idx="84">
                  <c:v>15.959999999999987</c:v>
                </c:pt>
                <c:pt idx="85">
                  <c:v>16.149999999999988</c:v>
                </c:pt>
                <c:pt idx="86">
                  <c:v>16.33999999999999</c:v>
                </c:pt>
                <c:pt idx="87">
                  <c:v>16.52999999999999</c:v>
                </c:pt>
                <c:pt idx="88">
                  <c:v>16.71999999999999</c:v>
                </c:pt>
                <c:pt idx="89">
                  <c:v>16.909999999999993</c:v>
                </c:pt>
                <c:pt idx="90">
                  <c:v>17.099999999999994</c:v>
                </c:pt>
                <c:pt idx="91">
                  <c:v>17.289999999999996</c:v>
                </c:pt>
                <c:pt idx="92">
                  <c:v>17.479999999999997</c:v>
                </c:pt>
                <c:pt idx="93">
                  <c:v>17.669999999999998</c:v>
                </c:pt>
                <c:pt idx="94">
                  <c:v>17.86</c:v>
                </c:pt>
                <c:pt idx="95">
                  <c:v>18.05</c:v>
                </c:pt>
                <c:pt idx="96">
                  <c:v>18.240000000000002</c:v>
                </c:pt>
                <c:pt idx="97">
                  <c:v>18.430000000000003</c:v>
                </c:pt>
                <c:pt idx="98">
                  <c:v>18.620000000000005</c:v>
                </c:pt>
                <c:pt idx="99">
                  <c:v>18.810000000000006</c:v>
                </c:pt>
                <c:pt idx="100">
                  <c:v>19.000000000000007</c:v>
                </c:pt>
              </c:numCache>
            </c:numRef>
          </c:yVal>
          <c:smooth val="1"/>
        </c:ser>
        <c:axId val="14106581"/>
        <c:axId val="59850366"/>
      </c:scatterChart>
      <c:valAx>
        <c:axId val="141065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Axial load (kN)</a:t>
                </a:r>
              </a:p>
            </c:rich>
          </c:tx>
          <c:layout>
            <c:manualLayout>
              <c:xMode val="factor"/>
              <c:yMode val="factor"/>
              <c:x val="0.26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50366"/>
        <c:crosses val="autoZero"/>
        <c:crossBetween val="midCat"/>
        <c:dispUnits/>
      </c:valAx>
      <c:valAx>
        <c:axId val="5985036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06581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425"/>
          <c:w val="0.876"/>
          <c:h val="0.866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PlotTable!$Z$5:$Z$6</c:f>
              <c:numCache>
                <c:ptCount val="2"/>
                <c:pt idx="0">
                  <c:v>0</c:v>
                </c:pt>
                <c:pt idx="1">
                  <c:v>542</c:v>
                </c:pt>
              </c:numCache>
            </c:numRef>
          </c:xVal>
          <c:yVal>
            <c:numRef>
              <c:f>PlotTable!$AA$5:$AA$6</c:f>
              <c:numCache>
                <c:ptCount val="2"/>
                <c:pt idx="0">
                  <c:v>0</c:v>
                </c:pt>
                <c:pt idx="1">
                  <c:v>3.611990580158769</c:v>
                </c:pt>
              </c:numCache>
            </c:numRef>
          </c:yVal>
          <c:smooth val="1"/>
        </c:ser>
        <c:axId val="1782383"/>
        <c:axId val="16041448"/>
      </c:scatterChart>
      <c:valAx>
        <c:axId val="17823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Axial load (kN)</a:t>
                </a:r>
              </a:p>
            </c:rich>
          </c:tx>
          <c:layout>
            <c:manualLayout>
              <c:xMode val="factor"/>
              <c:yMode val="factor"/>
              <c:x val="0.258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41448"/>
        <c:crosses val="autoZero"/>
        <c:crossBetween val="midCat"/>
        <c:dispUnits/>
      </c:valAx>
      <c:valAx>
        <c:axId val="1604144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pile head settlement (mm)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2383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3</xdr:row>
      <xdr:rowOff>9525</xdr:rowOff>
    </xdr:from>
    <xdr:to>
      <xdr:col>11</xdr:col>
      <xdr:colOff>85725</xdr:colOff>
      <xdr:row>22</xdr:row>
      <xdr:rowOff>57150</xdr:rowOff>
    </xdr:to>
    <xdr:pic>
      <xdr:nvPicPr>
        <xdr:cNvPr id="1" name="Picture 3" descr="PB_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714375"/>
          <a:ext cx="23717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6</xdr:row>
      <xdr:rowOff>142875</xdr:rowOff>
    </xdr:from>
    <xdr:to>
      <xdr:col>13</xdr:col>
      <xdr:colOff>438150</xdr:colOff>
      <xdr:row>15</xdr:row>
      <xdr:rowOff>47625</xdr:rowOff>
    </xdr:to>
    <xdr:pic>
      <xdr:nvPicPr>
        <xdr:cNvPr id="2" name="Picture 4" descr="Fig1_Rec_Cir"/>
        <xdr:cNvPicPr preferRelativeResize="1">
          <a:picLocks noChangeAspect="1"/>
        </xdr:cNvPicPr>
      </xdr:nvPicPr>
      <xdr:blipFill>
        <a:blip r:embed="rId2"/>
        <a:srcRect l="61450" t="56896" r="-1647"/>
        <a:stretch>
          <a:fillRect/>
        </a:stretch>
      </xdr:blipFill>
      <xdr:spPr>
        <a:xfrm>
          <a:off x="6800850" y="1457325"/>
          <a:ext cx="16668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8</xdr:row>
      <xdr:rowOff>9525</xdr:rowOff>
    </xdr:from>
    <xdr:to>
      <xdr:col>9</xdr:col>
      <xdr:colOff>1485900</xdr:colOff>
      <xdr:row>9</xdr:row>
      <xdr:rowOff>19050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724150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104775</xdr:rowOff>
    </xdr:from>
    <xdr:to>
      <xdr:col>8</xdr:col>
      <xdr:colOff>257175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628650" y="104775"/>
        <a:ext cx="4505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2</xdr:row>
      <xdr:rowOff>76200</xdr:rowOff>
    </xdr:from>
    <xdr:to>
      <xdr:col>4</xdr:col>
      <xdr:colOff>600075</xdr:colOff>
      <xdr:row>3</xdr:row>
      <xdr:rowOff>133350</xdr:rowOff>
    </xdr:to>
    <xdr:sp>
      <xdr:nvSpPr>
        <xdr:cNvPr id="2" name="Line 7"/>
        <xdr:cNvSpPr>
          <a:spLocks/>
        </xdr:cNvSpPr>
      </xdr:nvSpPr>
      <xdr:spPr>
        <a:xfrm>
          <a:off x="3038475" y="400050"/>
          <a:ext cx="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219075</xdr:colOff>
      <xdr:row>0</xdr:row>
      <xdr:rowOff>142875</xdr:rowOff>
    </xdr:from>
    <xdr:ext cx="533400" cy="228600"/>
    <xdr:sp>
      <xdr:nvSpPr>
        <xdr:cNvPr id="3" name="Text Box 8"/>
        <xdr:cNvSpPr txBox="1">
          <a:spLocks noChangeArrowheads="1"/>
        </xdr:cNvSpPr>
      </xdr:nvSpPr>
      <xdr:spPr>
        <a:xfrm>
          <a:off x="2657475" y="14287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(kN) =</a:t>
          </a:r>
        </a:p>
      </xdr:txBody>
    </xdr:sp>
    <xdr:clientData/>
  </xdr:oneCellAnchor>
  <xdr:oneCellAnchor>
    <xdr:from>
      <xdr:col>5</xdr:col>
      <xdr:colOff>209550</xdr:colOff>
      <xdr:row>25</xdr:row>
      <xdr:rowOff>142875</xdr:rowOff>
    </xdr:from>
    <xdr:ext cx="552450" cy="228600"/>
    <xdr:sp>
      <xdr:nvSpPr>
        <xdr:cNvPr id="4" name="Text Box 10"/>
        <xdr:cNvSpPr txBox="1">
          <a:spLocks noChangeArrowheads="1"/>
        </xdr:cNvSpPr>
      </xdr:nvSpPr>
      <xdr:spPr>
        <a:xfrm>
          <a:off x="3257550" y="4191000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(kN) =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9525</xdr:rowOff>
    </xdr:from>
    <xdr:to>
      <xdr:col>5</xdr:col>
      <xdr:colOff>152400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3409950"/>
        <a:ext cx="3114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0</xdr:row>
      <xdr:rowOff>0</xdr:rowOff>
    </xdr:from>
    <xdr:to>
      <xdr:col>10</xdr:col>
      <xdr:colOff>466725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3305175" y="0"/>
        <a:ext cx="32575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466725</xdr:colOff>
      <xdr:row>21</xdr:row>
      <xdr:rowOff>104775</xdr:rowOff>
    </xdr:from>
    <xdr:to>
      <xdr:col>11</xdr:col>
      <xdr:colOff>95250</xdr:colOff>
      <xdr:row>41</xdr:row>
      <xdr:rowOff>76200</xdr:rowOff>
    </xdr:to>
    <xdr:graphicFrame>
      <xdr:nvGraphicFramePr>
        <xdr:cNvPr id="3" name="Chart 3"/>
        <xdr:cNvGraphicFramePr/>
      </xdr:nvGraphicFramePr>
      <xdr:xfrm>
        <a:off x="3514725" y="3505200"/>
        <a:ext cx="3286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0</xdr:row>
      <xdr:rowOff>19050</xdr:rowOff>
    </xdr:from>
    <xdr:to>
      <xdr:col>5</xdr:col>
      <xdr:colOff>266700</xdr:colOff>
      <xdr:row>20</xdr:row>
      <xdr:rowOff>0</xdr:rowOff>
    </xdr:to>
    <xdr:graphicFrame>
      <xdr:nvGraphicFramePr>
        <xdr:cNvPr id="4" name="Chart 6"/>
        <xdr:cNvGraphicFramePr/>
      </xdr:nvGraphicFramePr>
      <xdr:xfrm>
        <a:off x="19050" y="19050"/>
        <a:ext cx="3295650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5</xdr:row>
      <xdr:rowOff>66675</xdr:rowOff>
    </xdr:from>
    <xdr:to>
      <xdr:col>7</xdr:col>
      <xdr:colOff>228600</xdr:colOff>
      <xdr:row>17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63574" b="66535"/>
        <a:stretch>
          <a:fillRect/>
        </a:stretch>
      </xdr:blipFill>
      <xdr:spPr>
        <a:xfrm>
          <a:off x="428625" y="1028700"/>
          <a:ext cx="3552825" cy="2447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20</xdr:row>
      <xdr:rowOff>123825</xdr:rowOff>
    </xdr:from>
    <xdr:to>
      <xdr:col>6</xdr:col>
      <xdr:colOff>9525</xdr:colOff>
      <xdr:row>38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4082" t="35026" r="37402" b="15885"/>
        <a:stretch>
          <a:fillRect/>
        </a:stretch>
      </xdr:blipFill>
      <xdr:spPr>
        <a:xfrm>
          <a:off x="371475" y="4038600"/>
          <a:ext cx="2781300" cy="3590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3:D24"/>
  <sheetViews>
    <sheetView showRowColHeaders="0" tabSelected="1" zoomScalePageLayoutView="0" workbookViewId="0" topLeftCell="A1">
      <selection activeCell="A32" sqref="A32"/>
    </sheetView>
  </sheetViews>
  <sheetFormatPr defaultColWidth="9.140625" defaultRowHeight="12.75"/>
  <cols>
    <col min="1" max="2" width="9.140625" style="2" customWidth="1"/>
    <col min="3" max="3" width="10.7109375" style="2" customWidth="1"/>
    <col min="4" max="16384" width="9.140625" style="2" customWidth="1"/>
  </cols>
  <sheetData>
    <row r="3" spans="2:4" ht="30">
      <c r="B3" s="45" t="s">
        <v>77</v>
      </c>
      <c r="D3" s="52" t="s">
        <v>76</v>
      </c>
    </row>
    <row r="4" ht="15.75">
      <c r="B4" s="46"/>
    </row>
    <row r="5" ht="12.75"/>
    <row r="6" ht="19.5">
      <c r="B6" s="53" t="s">
        <v>118</v>
      </c>
    </row>
    <row r="7" ht="12.75"/>
    <row r="8" ht="12.75"/>
    <row r="9" ht="12.75"/>
    <row r="10" ht="12.75"/>
    <row r="11" ht="12.75"/>
    <row r="12" ht="15.75">
      <c r="B12" s="54" t="s">
        <v>78</v>
      </c>
    </row>
    <row r="13" ht="12.75"/>
    <row r="14" ht="12.75"/>
    <row r="15" ht="12.75"/>
    <row r="16" s="48" customFormat="1" ht="12.75"/>
    <row r="17" s="48" customFormat="1" ht="12.75"/>
    <row r="18" ht="12.75">
      <c r="B18" s="47" t="s">
        <v>74</v>
      </c>
    </row>
    <row r="19" ht="12.75">
      <c r="B19" s="47" t="s">
        <v>75</v>
      </c>
    </row>
    <row r="20" ht="12.75"/>
    <row r="21" ht="12.75"/>
    <row r="22" ht="12.75"/>
    <row r="23" ht="12.75">
      <c r="B23" s="48"/>
    </row>
    <row r="24" ht="12.75">
      <c r="B24" s="4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25"/>
  <sheetViews>
    <sheetView showRowColHeaders="0" zoomScalePageLayoutView="0" workbookViewId="0" topLeftCell="A1">
      <selection activeCell="G3" sqref="G3"/>
    </sheetView>
  </sheetViews>
  <sheetFormatPr defaultColWidth="9.140625" defaultRowHeight="12.75"/>
  <cols>
    <col min="1" max="1" width="2.8515625" style="2" customWidth="1"/>
    <col min="2" max="2" width="22.140625" style="2" customWidth="1"/>
    <col min="3" max="3" width="9.57421875" style="2" customWidth="1"/>
    <col min="4" max="4" width="1.421875" style="2" customWidth="1"/>
    <col min="5" max="5" width="8.57421875" style="12" customWidth="1"/>
    <col min="6" max="6" width="12.57421875" style="12" customWidth="1"/>
    <col min="7" max="7" width="19.57421875" style="12" customWidth="1"/>
    <col min="8" max="8" width="15.00390625" style="12" customWidth="1"/>
    <col min="9" max="9" width="2.140625" style="2" customWidth="1"/>
    <col min="10" max="10" width="24.57421875" style="2" customWidth="1"/>
    <col min="11" max="16384" width="9.140625" style="2" customWidth="1"/>
  </cols>
  <sheetData>
    <row r="1" spans="2:10" ht="35.25" customHeight="1">
      <c r="B1" s="3" t="s">
        <v>0</v>
      </c>
      <c r="E1" s="3" t="s">
        <v>117</v>
      </c>
      <c r="J1" s="3" t="s">
        <v>5</v>
      </c>
    </row>
    <row r="2" spans="2:11" ht="25.5" customHeight="1">
      <c r="B2" s="55" t="s">
        <v>79</v>
      </c>
      <c r="C2" s="13">
        <v>0.2</v>
      </c>
      <c r="E2" s="55" t="s">
        <v>104</v>
      </c>
      <c r="F2" s="56" t="s">
        <v>105</v>
      </c>
      <c r="G2" s="56" t="s">
        <v>106</v>
      </c>
      <c r="H2" s="56" t="s">
        <v>107</v>
      </c>
      <c r="J2" s="56" t="s">
        <v>85</v>
      </c>
      <c r="K2" s="37">
        <f>CALS!B20</f>
        <v>3.611990580158769</v>
      </c>
    </row>
    <row r="3" spans="2:11" ht="25.5" customHeight="1">
      <c r="B3" s="55" t="s">
        <v>80</v>
      </c>
      <c r="C3" s="13">
        <v>19</v>
      </c>
      <c r="E3" s="13">
        <v>1</v>
      </c>
      <c r="F3" s="13">
        <v>12</v>
      </c>
      <c r="G3" s="39">
        <v>50</v>
      </c>
      <c r="H3" s="13">
        <v>0.3</v>
      </c>
      <c r="J3" s="56" t="s">
        <v>86</v>
      </c>
      <c r="K3" s="37">
        <f>CALS!B21</f>
        <v>0.13127774820061125</v>
      </c>
    </row>
    <row r="4" spans="2:11" ht="25.5" customHeight="1">
      <c r="B4" s="56" t="s">
        <v>81</v>
      </c>
      <c r="C4" s="38">
        <v>27</v>
      </c>
      <c r="E4" s="13">
        <v>2</v>
      </c>
      <c r="F4" s="13">
        <v>19</v>
      </c>
      <c r="G4" s="39">
        <v>117</v>
      </c>
      <c r="H4" s="13">
        <v>0.3</v>
      </c>
      <c r="J4" s="56" t="s">
        <v>87</v>
      </c>
      <c r="K4" s="40">
        <f>CALS!B22</f>
        <v>16.98514294704582</v>
      </c>
    </row>
    <row r="5" spans="5:11" ht="25.5" customHeight="1">
      <c r="E5" s="13">
        <v>3</v>
      </c>
      <c r="F5" s="13">
        <v>21</v>
      </c>
      <c r="G5" s="39">
        <v>117</v>
      </c>
      <c r="H5" s="13">
        <v>0.3</v>
      </c>
      <c r="J5" s="57" t="s">
        <v>88</v>
      </c>
      <c r="K5" s="13">
        <f>CALS!B11</f>
        <v>0.022733508097961444</v>
      </c>
    </row>
    <row r="6" spans="5:11" ht="25.5" customHeight="1">
      <c r="E6" s="13">
        <v>4</v>
      </c>
      <c r="F6" s="13">
        <v>40</v>
      </c>
      <c r="G6" s="39">
        <v>138</v>
      </c>
      <c r="H6" s="13">
        <v>0.3</v>
      </c>
      <c r="J6" s="30"/>
      <c r="K6" s="31"/>
    </row>
    <row r="7" spans="2:11" ht="25.5" customHeight="1">
      <c r="B7" s="3" t="s">
        <v>4</v>
      </c>
      <c r="E7" s="13">
        <v>5</v>
      </c>
      <c r="F7" s="13"/>
      <c r="G7" s="39"/>
      <c r="H7" s="13"/>
      <c r="J7" s="30"/>
      <c r="K7" s="31"/>
    </row>
    <row r="8" spans="2:8" ht="25.5" customHeight="1">
      <c r="B8" s="56" t="s">
        <v>82</v>
      </c>
      <c r="C8" s="13">
        <v>2</v>
      </c>
      <c r="E8" s="13">
        <v>6</v>
      </c>
      <c r="F8" s="14"/>
      <c r="G8" s="39"/>
      <c r="H8" s="13"/>
    </row>
    <row r="9" spans="2:12" ht="25.5" customHeight="1">
      <c r="B9" s="56" t="s">
        <v>83</v>
      </c>
      <c r="C9" s="13">
        <v>2</v>
      </c>
      <c r="E9" s="13">
        <v>7</v>
      </c>
      <c r="F9" s="14"/>
      <c r="G9" s="39"/>
      <c r="H9" s="13"/>
      <c r="K9" s="68">
        <v>5</v>
      </c>
      <c r="L9" s="69" t="s">
        <v>103</v>
      </c>
    </row>
    <row r="10" spans="5:8" ht="25.5" customHeight="1">
      <c r="E10" s="13">
        <v>8</v>
      </c>
      <c r="F10" s="14"/>
      <c r="G10" s="39"/>
      <c r="H10" s="13"/>
    </row>
    <row r="11" spans="2:8" ht="25.5" customHeight="1">
      <c r="B11" s="3" t="s">
        <v>1</v>
      </c>
      <c r="E11" s="13">
        <v>9</v>
      </c>
      <c r="F11" s="14"/>
      <c r="G11" s="39"/>
      <c r="H11" s="13"/>
    </row>
    <row r="12" spans="2:8" ht="25.5" customHeight="1">
      <c r="B12" s="56" t="s">
        <v>84</v>
      </c>
      <c r="C12" s="39">
        <v>542</v>
      </c>
      <c r="E12" s="13">
        <v>10</v>
      </c>
      <c r="F12" s="14"/>
      <c r="G12" s="39"/>
      <c r="H12" s="13"/>
    </row>
    <row r="13" spans="5:8" ht="25.5" customHeight="1">
      <c r="E13" s="15"/>
      <c r="F13" s="50"/>
      <c r="G13" s="51"/>
      <c r="H13" s="15"/>
    </row>
    <row r="14" spans="5:8" ht="25.5" customHeight="1">
      <c r="E14" s="15"/>
      <c r="F14" s="50"/>
      <c r="G14" s="51"/>
      <c r="H14" s="15"/>
    </row>
    <row r="15" spans="5:8" ht="25.5" customHeight="1">
      <c r="E15" s="15"/>
      <c r="F15" s="50"/>
      <c r="G15" s="51"/>
      <c r="H15" s="15"/>
    </row>
    <row r="16" spans="5:8" ht="25.5" customHeight="1">
      <c r="E16" s="15"/>
      <c r="F16" s="50"/>
      <c r="G16" s="51"/>
      <c r="H16" s="15"/>
    </row>
    <row r="17" spans="5:8" ht="25.5" customHeight="1">
      <c r="E17" s="15"/>
      <c r="F17" s="50"/>
      <c r="G17" s="51"/>
      <c r="H17" s="15"/>
    </row>
    <row r="18" spans="5:8" ht="25.5" customHeight="1">
      <c r="E18" s="15"/>
      <c r="F18" s="50"/>
      <c r="G18" s="51"/>
      <c r="H18" s="15"/>
    </row>
    <row r="19" spans="5:8" ht="25.5" customHeight="1">
      <c r="E19" s="15"/>
      <c r="F19" s="50"/>
      <c r="G19" s="51"/>
      <c r="H19" s="15"/>
    </row>
    <row r="20" spans="5:8" ht="25.5" customHeight="1">
      <c r="E20" s="15"/>
      <c r="F20" s="50"/>
      <c r="G20" s="51"/>
      <c r="H20" s="15"/>
    </row>
    <row r="21" spans="5:8" ht="25.5" customHeight="1">
      <c r="E21" s="15"/>
      <c r="F21" s="50"/>
      <c r="G21" s="51"/>
      <c r="H21" s="15"/>
    </row>
    <row r="22" spans="5:8" ht="25.5" customHeight="1">
      <c r="E22" s="15"/>
      <c r="F22" s="50"/>
      <c r="G22" s="51"/>
      <c r="H22" s="15"/>
    </row>
    <row r="24" ht="12.75">
      <c r="G24" s="15"/>
    </row>
    <row r="25" ht="12.75">
      <c r="G25" s="15"/>
    </row>
  </sheetData>
  <sheetProtection/>
  <printOptions/>
  <pageMargins left="0.75" right="0.75" top="1" bottom="1" header="0.5" footer="0.5"/>
  <pageSetup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F2:O27"/>
  <sheetViews>
    <sheetView showRowColHeaders="0" zoomScalePageLayoutView="0" workbookViewId="0" topLeftCell="A1">
      <selection activeCell="K25" sqref="K25"/>
    </sheetView>
  </sheetViews>
  <sheetFormatPr defaultColWidth="9.140625" defaultRowHeight="12.75"/>
  <cols>
    <col min="1" max="10" width="9.140625" style="2" customWidth="1"/>
    <col min="11" max="11" width="10.28125" style="2" customWidth="1"/>
    <col min="12" max="16384" width="9.140625" style="2" customWidth="1"/>
  </cols>
  <sheetData>
    <row r="1" ht="12.75"/>
    <row r="2" spans="6:7" ht="12.75">
      <c r="F2" s="43">
        <f>IF(PlotTable!P2=1,0,MAIN!C12)</f>
        <v>542</v>
      </c>
      <c r="G2" s="42"/>
    </row>
    <row r="3" ht="12.75"/>
    <row r="4" ht="12.75"/>
    <row r="5" ht="12.75"/>
    <row r="6" ht="12.75"/>
    <row r="7" ht="12.75"/>
    <row r="9" ht="12.75">
      <c r="K9" s="74" t="s">
        <v>72</v>
      </c>
    </row>
    <row r="10" ht="12.75">
      <c r="K10" s="72">
        <v>5</v>
      </c>
    </row>
    <row r="12" spans="11:15" ht="12.75">
      <c r="K12" s="41" t="s">
        <v>111</v>
      </c>
      <c r="L12" s="41"/>
      <c r="M12" s="41"/>
      <c r="N12" s="73">
        <f>1000/K10</f>
        <v>200</v>
      </c>
      <c r="O12" s="41" t="s">
        <v>112</v>
      </c>
    </row>
    <row r="13" spans="11:15" ht="12.75">
      <c r="K13" s="41" t="s">
        <v>113</v>
      </c>
      <c r="L13" s="41"/>
      <c r="M13" s="41"/>
      <c r="N13" s="41"/>
      <c r="O13" s="41"/>
    </row>
    <row r="26" ht="12.75">
      <c r="K26" s="41"/>
    </row>
    <row r="27" ht="12.75">
      <c r="G27" s="44">
        <f>IF(PlotTable!P2=1,0,PlotTable!G105)</f>
        <v>16.98514294704582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RowColHeaders="0" zoomScalePageLayoutView="0" workbookViewId="0" topLeftCell="A1">
      <selection activeCell="M38" sqref="M38"/>
    </sheetView>
  </sheetViews>
  <sheetFormatPr defaultColWidth="9.140625" defaultRowHeight="12.7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2:L25"/>
  <sheetViews>
    <sheetView showRowColHeaders="0" zoomScalePageLayoutView="0" workbookViewId="0" topLeftCell="A1">
      <selection activeCell="Q33" sqref="Q33"/>
    </sheetView>
  </sheetViews>
  <sheetFormatPr defaultColWidth="9.140625" defaultRowHeight="12.75"/>
  <cols>
    <col min="1" max="1" width="1.8515625" style="36" customWidth="1"/>
    <col min="2" max="6" width="9.7109375" style="36" customWidth="1"/>
    <col min="7" max="7" width="11.140625" style="36" customWidth="1"/>
    <col min="8" max="8" width="10.8515625" style="36" customWidth="1"/>
    <col min="9" max="11" width="9.7109375" style="36" customWidth="1"/>
    <col min="12" max="16384" width="9.140625" style="36" customWidth="1"/>
  </cols>
  <sheetData>
    <row r="1" ht="12.75" thickBot="1"/>
    <row r="2" spans="2:12" ht="15.75">
      <c r="B2" s="66" t="s">
        <v>91</v>
      </c>
      <c r="C2" s="66" t="s">
        <v>92</v>
      </c>
      <c r="D2" s="66" t="s">
        <v>94</v>
      </c>
      <c r="E2" s="66" t="s">
        <v>95</v>
      </c>
      <c r="F2" s="67" t="s">
        <v>96</v>
      </c>
      <c r="G2" s="66" t="s">
        <v>97</v>
      </c>
      <c r="H2" s="66" t="s">
        <v>98</v>
      </c>
      <c r="I2" s="66" t="s">
        <v>99</v>
      </c>
      <c r="J2" s="66" t="s">
        <v>100</v>
      </c>
      <c r="K2" s="66" t="s">
        <v>101</v>
      </c>
      <c r="L2" s="67" t="s">
        <v>93</v>
      </c>
    </row>
    <row r="3" spans="2:12" ht="12.75">
      <c r="B3" s="36">
        <f>IF(CALS!D3=0,"",CALS!C3)</f>
        <v>1</v>
      </c>
      <c r="C3" s="36">
        <f>IF(B3="","",CALS!D3)</f>
        <v>12</v>
      </c>
      <c r="D3" s="62">
        <f>CALS!J3</f>
        <v>22540429.28409452</v>
      </c>
      <c r="E3" s="62">
        <f>CALS!K3</f>
        <v>63422519.047246516</v>
      </c>
      <c r="F3" s="59">
        <f>CALS!N3</f>
        <v>0.1520414730095885</v>
      </c>
      <c r="G3" s="62">
        <f>CALS!O3</f>
        <v>148251847.5907755</v>
      </c>
      <c r="H3" s="60">
        <f>CALS!X3</f>
        <v>-2.197518316591547E-05</v>
      </c>
      <c r="I3" s="60">
        <f>CALS!Y3</f>
        <v>0.0036339657633246846</v>
      </c>
      <c r="J3" s="58">
        <f>CALS!Z3</f>
        <v>648.9027795815235</v>
      </c>
      <c r="K3" s="58">
        <f>CALS!AA3</f>
        <v>32.84445215170919</v>
      </c>
      <c r="L3" s="64">
        <f>IF(B3="","",CALS!$B$11)</f>
        <v>0.022733508097961444</v>
      </c>
    </row>
    <row r="4" spans="2:12" ht="12.75">
      <c r="B4" s="36">
        <f>IF(CALS!D4=0,"",CALS!C4)</f>
        <v>2</v>
      </c>
      <c r="C4" s="36">
        <f>IF(B4="","",CALS!D4)</f>
        <v>19</v>
      </c>
      <c r="D4" s="62">
        <f>CALS!J4</f>
        <v>52744604.524781175</v>
      </c>
      <c r="E4" s="62">
        <f>CALS!K4</f>
        <v>148408694.57055685</v>
      </c>
      <c r="F4" s="59">
        <f>CALS!N4</f>
        <v>0.2146235067895668</v>
      </c>
      <c r="G4" s="62">
        <f>CALS!O4</f>
        <v>245754089.6323905</v>
      </c>
      <c r="H4" s="60">
        <f>CALS!X4</f>
        <v>5.156381742543948E-07</v>
      </c>
      <c r="I4" s="60">
        <f>CALS!Y4</f>
        <v>0.005824169351679784</v>
      </c>
      <c r="J4" s="58">
        <f>CALS!Z4</f>
        <v>17.99470127229059</v>
      </c>
      <c r="K4" s="58">
        <f>CALS!AA4</f>
        <v>1.3669211635949785</v>
      </c>
      <c r="L4" s="64">
        <f>IF(B4="","",CALS!$B$11)</f>
        <v>0.022733508097961444</v>
      </c>
    </row>
    <row r="5" spans="2:12" ht="12.75">
      <c r="B5" s="36">
        <f>IF(CALS!D5=0,"",CALS!C5)</f>
        <v>3</v>
      </c>
      <c r="C5" s="36">
        <f>IF(B5="","",CALS!D5)</f>
        <v>21</v>
      </c>
      <c r="D5" s="62">
        <f>CALS!J5</f>
        <v>52744604.524781175</v>
      </c>
      <c r="E5" s="62">
        <f>CALS!K5</f>
        <v>148408694.57055685</v>
      </c>
      <c r="F5" s="59">
        <f>CALS!N5</f>
        <v>0.4198800697243515</v>
      </c>
      <c r="G5" s="62">
        <f>CALS!O5</f>
        <v>125618261.80368042</v>
      </c>
      <c r="H5" s="60">
        <f>CALS!X5</f>
        <v>-6.748273806092595E-10</v>
      </c>
      <c r="I5" s="60">
        <f>CALS!Y5</f>
        <v>0.38844672476337483</v>
      </c>
      <c r="J5" s="58">
        <f>CALS!Z5</f>
        <v>0.6071854145464559</v>
      </c>
      <c r="K5" s="58">
        <f>CALS!AA5</f>
        <v>0.24185582640728398</v>
      </c>
      <c r="L5" s="64">
        <f>IF(B5="","",CALS!$B$11)</f>
        <v>0.022733508097961444</v>
      </c>
    </row>
    <row r="6" spans="2:12" ht="12.75">
      <c r="B6" s="36">
        <f>IF(CALS!D6=0,"",CALS!C6)</f>
        <v>4</v>
      </c>
      <c r="C6" s="36">
        <f>IF(B6="","",CALS!D6)</f>
        <v>40</v>
      </c>
      <c r="D6" s="62">
        <f>CALS!J6</f>
        <v>62211584.82410087</v>
      </c>
      <c r="E6" s="62">
        <f>CALS!K6</f>
        <v>175046152.5704004</v>
      </c>
      <c r="F6" s="59">
        <f>CALS!N6</f>
        <v>0.4198800697243515</v>
      </c>
      <c r="G6" s="62">
        <f>CALS!O6</f>
        <v>148165129.3069051</v>
      </c>
      <c r="H6" s="60">
        <f>CALS!X6</f>
        <v>0</v>
      </c>
      <c r="I6" s="60">
        <f>CALS!Y6</f>
        <v>0.35645699448874396</v>
      </c>
      <c r="J6" s="58">
        <f>CALS!Z6</f>
        <v>0.1470140722582067</v>
      </c>
      <c r="K6" s="58">
        <f>CALS!AA6</f>
        <v>0.05183694810558878</v>
      </c>
      <c r="L6" s="64">
        <f>IF(B6="","",CALS!$B$11)</f>
        <v>0.022733508097961444</v>
      </c>
    </row>
    <row r="7" spans="2:12" ht="12.75">
      <c r="B7" s="36">
        <f>IF(CALS!D7=0,"",CALS!C7)</f>
      </c>
      <c r="C7" s="36">
        <f>IF(B7="","",CALS!D7)</f>
      </c>
      <c r="D7" s="62">
        <f>CALS!J7</f>
      </c>
      <c r="E7" s="62">
        <f>CALS!K7</f>
      </c>
      <c r="F7" s="59">
        <f>CALS!N7</f>
      </c>
      <c r="G7" s="62">
        <f>CALS!O7</f>
      </c>
      <c r="H7" s="60">
        <f>CALS!X7</f>
      </c>
      <c r="I7" s="60">
        <f>CALS!Y7</f>
      </c>
      <c r="J7" s="58">
        <f>CALS!Z7</f>
      </c>
      <c r="K7" s="58">
        <f>CALS!AA7</f>
      </c>
      <c r="L7" s="64">
        <f>IF(B7="","",CALS!$B$11)</f>
      </c>
    </row>
    <row r="8" spans="2:11" ht="12.75">
      <c r="B8" s="36">
        <f>IF(CALS!D8=0,"",CALS!C8)</f>
      </c>
      <c r="C8" s="36">
        <f>IF(B8="","",CALS!D8)</f>
      </c>
      <c r="D8" s="62">
        <f>CALS!J8</f>
      </c>
      <c r="E8" s="62">
        <f>CALS!K8</f>
      </c>
      <c r="F8" s="36">
        <f>CALS!N8</f>
      </c>
      <c r="G8" s="62">
        <f>CALS!O8</f>
      </c>
      <c r="H8" s="36">
        <f>CALS!Y8</f>
      </c>
      <c r="I8" s="36">
        <f>CALS!Z8</f>
      </c>
      <c r="J8" s="36">
        <f>CALS!AA8</f>
      </c>
      <c r="K8" s="64">
        <f>IF(B8="","",CALS!$B$11)</f>
      </c>
    </row>
    <row r="9" spans="2:11" ht="12.75">
      <c r="B9" s="36">
        <f>IF(CALS!D9=0,"",CALS!C9)</f>
      </c>
      <c r="C9" s="36">
        <f>IF(B9="","",CALS!D9)</f>
      </c>
      <c r="D9" s="62">
        <f>CALS!J9</f>
      </c>
      <c r="E9" s="62">
        <f>CALS!K9</f>
      </c>
      <c r="F9" s="36">
        <f>CALS!N9</f>
      </c>
      <c r="G9" s="62">
        <f>CALS!O9</f>
      </c>
      <c r="H9" s="36">
        <f>CALS!Y9</f>
      </c>
      <c r="I9" s="36">
        <f>CALS!Z9</f>
      </c>
      <c r="J9" s="36">
        <f>CALS!AA9</f>
      </c>
      <c r="K9" s="64">
        <f>IF(B9="","",CALS!$B$11)</f>
      </c>
    </row>
    <row r="10" spans="2:11" ht="12.75">
      <c r="B10" s="36">
        <f>IF(CALS!D10=0,"",CALS!C10)</f>
      </c>
      <c r="C10" s="36">
        <f>IF(B10="","",CALS!D10)</f>
      </c>
      <c r="D10" s="62">
        <f>CALS!J10</f>
      </c>
      <c r="E10" s="62">
        <f>CALS!K10</f>
      </c>
      <c r="F10" s="36">
        <f>CALS!N10</f>
      </c>
      <c r="G10" s="62">
        <f>CALS!O10</f>
      </c>
      <c r="H10" s="36">
        <f>CALS!Y10</f>
      </c>
      <c r="I10" s="36">
        <f>CALS!Z10</f>
      </c>
      <c r="J10" s="36">
        <f>CALS!AA10</f>
      </c>
      <c r="K10" s="64">
        <f>IF(B10="","",CALS!$B$11)</f>
      </c>
    </row>
    <row r="11" spans="2:11" ht="12.75">
      <c r="B11" s="36">
        <f>IF(CALS!D11=0,"",CALS!C11)</f>
      </c>
      <c r="C11" s="36">
        <f>IF(B11="","",CALS!D11)</f>
      </c>
      <c r="D11" s="62">
        <f>CALS!J11</f>
      </c>
      <c r="E11" s="62">
        <f>CALS!K11</f>
      </c>
      <c r="F11" s="36">
        <f>CALS!N11</f>
      </c>
      <c r="G11" s="62">
        <f>CALS!O11</f>
      </c>
      <c r="H11" s="36">
        <f>CALS!Y11</f>
      </c>
      <c r="I11" s="36">
        <f>CALS!Z11</f>
      </c>
      <c r="J11" s="36">
        <f>CALS!AA11</f>
      </c>
      <c r="K11" s="64">
        <f>IF(B11="","",CALS!$B$11)</f>
      </c>
    </row>
    <row r="12" spans="2:12" ht="12.75">
      <c r="B12" s="61">
        <f>IF(CALS!D12=0,"",CALS!C12)</f>
      </c>
      <c r="C12" s="61">
        <f>IF(B12="","",CALS!D12)</f>
      </c>
      <c r="D12" s="63">
        <f>CALS!J12</f>
      </c>
      <c r="E12" s="63">
        <f>CALS!K12</f>
      </c>
      <c r="F12" s="61">
        <f>CALS!N12</f>
      </c>
      <c r="G12" s="63">
        <f>CALS!O12</f>
      </c>
      <c r="H12" s="61">
        <f>CALS!Y12</f>
      </c>
      <c r="I12" s="61">
        <f>CALS!Z12</f>
      </c>
      <c r="J12" s="61">
        <f>CALS!AA12</f>
      </c>
      <c r="K12" s="65">
        <f>IF(B12="","",CALS!$B$11)</f>
      </c>
      <c r="L12" s="61"/>
    </row>
    <row r="13" spans="2:11" ht="12.75">
      <c r="B13" s="36">
        <f>IF(CALS!D13=0,"",CALS!C13)</f>
      </c>
      <c r="C13" s="36">
        <f>IF(B13="","",CALS!D13)</f>
      </c>
      <c r="D13" s="62">
        <f>CALS!J13</f>
      </c>
      <c r="E13" s="62">
        <f>CALS!K13</f>
      </c>
      <c r="F13" s="36">
        <f>CALS!N13</f>
      </c>
      <c r="G13" s="62">
        <f>CALS!O13</f>
      </c>
      <c r="H13" s="36">
        <f>CALS!Y13</f>
      </c>
      <c r="I13" s="36">
        <f>CALS!Z13</f>
      </c>
      <c r="J13" s="36">
        <f>CALS!AA13</f>
      </c>
      <c r="K13" s="64">
        <f>IF(B13="","",CALS!$B$11)</f>
      </c>
    </row>
    <row r="14" spans="2:11" ht="12.75">
      <c r="B14" s="36">
        <f>IF(CALS!D14=0,"",CALS!C14)</f>
      </c>
      <c r="C14" s="36">
        <f>IF(B14="","",CALS!D14)</f>
      </c>
      <c r="D14" s="62">
        <f>CALS!J14</f>
      </c>
      <c r="E14" s="62">
        <f>CALS!K14</f>
      </c>
      <c r="F14" s="36">
        <f>CALS!N14</f>
      </c>
      <c r="G14" s="62">
        <f>CALS!O14</f>
      </c>
      <c r="H14" s="36">
        <f>CALS!Y14</f>
      </c>
      <c r="I14" s="36">
        <f>CALS!Z14</f>
      </c>
      <c r="J14" s="36">
        <f>CALS!AA14</f>
      </c>
      <c r="K14" s="64">
        <f>IF(B14="","",CALS!$B$11)</f>
      </c>
    </row>
    <row r="15" spans="2:11" ht="12.75">
      <c r="B15" s="36">
        <f>IF(CALS!D15=0,"",CALS!C15)</f>
      </c>
      <c r="C15" s="36">
        <f>IF(B15="","",CALS!D15)</f>
      </c>
      <c r="D15" s="62">
        <f>CALS!J15</f>
      </c>
      <c r="E15" s="62">
        <f>CALS!K15</f>
      </c>
      <c r="F15" s="36">
        <f>CALS!N15</f>
      </c>
      <c r="G15" s="62">
        <f>CALS!O15</f>
      </c>
      <c r="H15" s="36">
        <f>CALS!Y15</f>
      </c>
      <c r="I15" s="36">
        <f>CALS!Z15</f>
      </c>
      <c r="J15" s="36">
        <f>CALS!AA15</f>
      </c>
      <c r="K15" s="64">
        <f>IF(B15="","",CALS!$B$11)</f>
      </c>
    </row>
    <row r="16" spans="2:11" ht="12.75">
      <c r="B16" s="36">
        <f>IF(CALS!D16=0,"",CALS!C16)</f>
      </c>
      <c r="C16" s="36">
        <f>IF(B16="","",CALS!D16)</f>
      </c>
      <c r="D16" s="62">
        <f>CALS!J16</f>
      </c>
      <c r="E16" s="62">
        <f>CALS!K16</f>
      </c>
      <c r="F16" s="36">
        <f>CALS!N16</f>
      </c>
      <c r="G16" s="62">
        <f>CALS!O16</f>
      </c>
      <c r="H16"/>
      <c r="I16" s="36">
        <f>CALS!Z16</f>
      </c>
      <c r="J16" s="36">
        <f>CALS!AA16</f>
      </c>
      <c r="K16" s="64">
        <f>IF(B16="","",CALS!$B$11)</f>
      </c>
    </row>
    <row r="17" spans="2:11" ht="12.75">
      <c r="B17" s="36">
        <f>IF(CALS!D17=0,"",CALS!C17)</f>
      </c>
      <c r="C17" s="36">
        <f>IF(B17="","",CALS!D17)</f>
      </c>
      <c r="D17" s="62">
        <f>CALS!J17</f>
      </c>
      <c r="E17" s="62">
        <f>CALS!K17</f>
      </c>
      <c r="F17" s="36">
        <f>CALS!N17</f>
      </c>
      <c r="G17" s="62">
        <f>CALS!O17</f>
      </c>
      <c r="H17" s="36">
        <f>CALS!Y17</f>
      </c>
      <c r="I17" s="36">
        <f>CALS!Z17</f>
      </c>
      <c r="J17" s="36">
        <f>CALS!AA17</f>
      </c>
      <c r="K17" s="64">
        <f>IF(B17="","",CALS!$B$11)</f>
      </c>
    </row>
    <row r="18" spans="2:11" ht="12.75">
      <c r="B18" s="36">
        <f>IF(CALS!D18=0,"",CALS!C18)</f>
      </c>
      <c r="C18" s="36">
        <f>IF(B18="","",CALS!D18)</f>
      </c>
      <c r="D18" s="62">
        <f>CALS!J18</f>
      </c>
      <c r="E18" s="62">
        <f>CALS!K18</f>
      </c>
      <c r="F18" s="36">
        <f>CALS!N18</f>
      </c>
      <c r="G18" s="62">
        <f>CALS!O18</f>
      </c>
      <c r="H18" s="36">
        <f>CALS!Y18</f>
      </c>
      <c r="I18" s="36">
        <f>CALS!Z18</f>
      </c>
      <c r="J18" s="36">
        <f>CALS!AA18</f>
      </c>
      <c r="K18" s="64">
        <f>IF(B18="","",CALS!$B$11)</f>
      </c>
    </row>
    <row r="19" spans="2:11" ht="12.75">
      <c r="B19" s="36">
        <f>IF(CALS!D19=0,"",CALS!C19)</f>
      </c>
      <c r="C19" s="36">
        <f>IF(B19="","",CALS!D19)</f>
      </c>
      <c r="D19" s="62">
        <f>CALS!J19</f>
      </c>
      <c r="E19" s="62">
        <f>CALS!K19</f>
      </c>
      <c r="F19" s="36">
        <f>CALS!N19</f>
      </c>
      <c r="G19" s="62">
        <f>CALS!O19</f>
      </c>
      <c r="H19" s="36">
        <f>CALS!Y19</f>
      </c>
      <c r="I19" s="36">
        <f>CALS!Z19</f>
      </c>
      <c r="J19" s="36">
        <f>CALS!AA19</f>
      </c>
      <c r="K19" s="64">
        <f>IF(B19="","",CALS!$B$11)</f>
      </c>
    </row>
    <row r="20" spans="2:11" ht="12.75">
      <c r="B20" s="36">
        <f>IF(CALS!D20=0,"",CALS!C20)</f>
      </c>
      <c r="C20" s="36">
        <f>IF(B20="","",CALS!D20)</f>
      </c>
      <c r="D20" s="62">
        <f>CALS!J20</f>
      </c>
      <c r="E20"/>
      <c r="F20" s="36">
        <f>CALS!N20</f>
      </c>
      <c r="G20" s="62">
        <f>CALS!O20</f>
      </c>
      <c r="H20"/>
      <c r="I20" s="36">
        <f>CALS!Z20</f>
      </c>
      <c r="J20" s="36">
        <f>CALS!AA20</f>
      </c>
      <c r="K20" s="64">
        <f>IF(B20="","",CALS!$B$11)</f>
      </c>
    </row>
    <row r="21" spans="2:11" ht="12.75">
      <c r="B21" s="36">
        <f>IF(CALS!D21=0,"",CALS!C21)</f>
      </c>
      <c r="C21" s="36">
        <f>IF(B21="","",CALS!D21)</f>
      </c>
      <c r="D21" s="62">
        <f>CALS!J21</f>
      </c>
      <c r="E21" s="62">
        <f>CALS!K21</f>
      </c>
      <c r="F21" s="36">
        <f>CALS!N21</f>
      </c>
      <c r="G21" s="62">
        <f>CALS!X21</f>
      </c>
      <c r="H21" s="36">
        <f>CALS!Y21</f>
      </c>
      <c r="I21" s="36">
        <f>CALS!Z21</f>
      </c>
      <c r="J21" s="36">
        <f>CALS!AA21</f>
      </c>
      <c r="K21" s="36">
        <f>IF(B21="","",CALS!$B$11)</f>
      </c>
    </row>
    <row r="22" spans="4:5" ht="12.75">
      <c r="D22" s="62"/>
      <c r="E22" s="62"/>
    </row>
    <row r="23" spans="4:5" ht="12.75">
      <c r="D23" s="62"/>
      <c r="E23" s="62"/>
    </row>
    <row r="24" spans="4:5" ht="12.75">
      <c r="D24" s="62"/>
      <c r="E24" s="62"/>
    </row>
    <row r="25" ht="12.75">
      <c r="J25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B40"/>
  <sheetViews>
    <sheetView showRowColHeaders="0" zoomScalePageLayoutView="0" workbookViewId="0" topLeftCell="A1">
      <selection activeCell="K12" sqref="K12"/>
    </sheetView>
  </sheetViews>
  <sheetFormatPr defaultColWidth="9.140625" defaultRowHeight="12.75"/>
  <cols>
    <col min="1" max="1" width="1.421875" style="71" customWidth="1"/>
    <col min="2" max="16384" width="9.140625" style="71" customWidth="1"/>
  </cols>
  <sheetData>
    <row r="2" ht="17.25">
      <c r="B2" s="70" t="s">
        <v>119</v>
      </c>
    </row>
    <row r="4" ht="15">
      <c r="B4" s="71" t="s">
        <v>120</v>
      </c>
    </row>
    <row r="5" ht="15">
      <c r="B5" s="71" t="s">
        <v>109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20" ht="15">
      <c r="B20" s="71" t="s">
        <v>110</v>
      </c>
    </row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">
      <c r="B40" s="71" t="s">
        <v>108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A42"/>
  <sheetViews>
    <sheetView zoomScalePageLayoutView="0" workbookViewId="0" topLeftCell="A1">
      <pane xSplit="2" ySplit="1" topLeftCell="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6" sqref="Z6"/>
    </sheetView>
  </sheetViews>
  <sheetFormatPr defaultColWidth="9.140625" defaultRowHeight="12.75"/>
  <cols>
    <col min="1" max="1" width="12.00390625" style="0" customWidth="1"/>
    <col min="2" max="2" width="7.7109375" style="0" customWidth="1"/>
    <col min="7" max="10" width="9.7109375" style="0" bestFit="1" customWidth="1"/>
    <col min="11" max="11" width="10.7109375" style="0" bestFit="1" customWidth="1"/>
    <col min="15" max="15" width="10.7109375" style="0" bestFit="1" customWidth="1"/>
    <col min="17" max="17" width="10.7109375" style="0" bestFit="1" customWidth="1"/>
    <col min="18" max="19" width="10.7109375" style="0" customWidth="1"/>
    <col min="23" max="23" width="10.28125" style="0" customWidth="1"/>
    <col min="24" max="24" width="10.28125" style="19" customWidth="1"/>
    <col min="25" max="25" width="9.140625" style="19" customWidth="1"/>
    <col min="26" max="26" width="10.421875" style="0" customWidth="1"/>
    <col min="27" max="27" width="10.140625" style="0" customWidth="1"/>
  </cols>
  <sheetData>
    <row r="1" spans="1:27" ht="15">
      <c r="A1" t="s">
        <v>8</v>
      </c>
      <c r="B1">
        <f>MAIN!C2</f>
        <v>0.2</v>
      </c>
      <c r="C1" s="5" t="s">
        <v>2</v>
      </c>
      <c r="D1" s="6" t="s">
        <v>3</v>
      </c>
      <c r="E1" s="6" t="s">
        <v>15</v>
      </c>
      <c r="F1" s="9" t="s">
        <v>18</v>
      </c>
      <c r="G1" s="5" t="s">
        <v>19</v>
      </c>
      <c r="H1" s="11" t="s">
        <v>20</v>
      </c>
      <c r="I1" s="5" t="s">
        <v>21</v>
      </c>
      <c r="J1" s="5" t="s">
        <v>22</v>
      </c>
      <c r="K1" s="5" t="s">
        <v>23</v>
      </c>
      <c r="L1" s="5" t="s">
        <v>24</v>
      </c>
      <c r="M1" s="5" t="s">
        <v>13</v>
      </c>
      <c r="N1" s="11" t="s">
        <v>89</v>
      </c>
      <c r="O1" s="5" t="s">
        <v>25</v>
      </c>
      <c r="P1" s="5" t="s">
        <v>32</v>
      </c>
      <c r="Q1" s="27" t="s">
        <v>34</v>
      </c>
      <c r="R1" s="27" t="s">
        <v>35</v>
      </c>
      <c r="S1" s="5" t="s">
        <v>31</v>
      </c>
      <c r="T1" s="5" t="s">
        <v>33</v>
      </c>
      <c r="U1" s="27" t="s">
        <v>29</v>
      </c>
      <c r="V1" s="27" t="s">
        <v>36</v>
      </c>
      <c r="W1" s="5" t="s">
        <v>30</v>
      </c>
      <c r="X1" s="5" t="s">
        <v>37</v>
      </c>
      <c r="Y1" s="5" t="s">
        <v>38</v>
      </c>
      <c r="Z1" s="5" t="s">
        <v>27</v>
      </c>
      <c r="AA1" s="5" t="s">
        <v>26</v>
      </c>
    </row>
    <row r="2" spans="1:27" ht="15">
      <c r="A2" t="s">
        <v>12</v>
      </c>
      <c r="B2">
        <f>B1/2</f>
        <v>0.1</v>
      </c>
      <c r="C2" s="24">
        <v>0</v>
      </c>
      <c r="D2" s="25">
        <v>0</v>
      </c>
      <c r="E2" s="23"/>
      <c r="F2" s="28"/>
      <c r="G2" s="22"/>
      <c r="H2" s="29"/>
      <c r="I2" s="22"/>
      <c r="J2" s="22"/>
      <c r="K2" s="20"/>
      <c r="L2" s="20"/>
      <c r="M2" s="20"/>
      <c r="N2" s="21"/>
      <c r="O2" s="20"/>
      <c r="P2" s="20"/>
      <c r="Q2" s="20"/>
      <c r="R2" s="20"/>
      <c r="S2" s="20"/>
      <c r="T2" s="20"/>
      <c r="U2" s="20"/>
      <c r="V2" s="20"/>
      <c r="W2" s="20"/>
      <c r="X2" s="10"/>
      <c r="Y2" s="26"/>
      <c r="Z2" s="18"/>
      <c r="AA2" s="18"/>
    </row>
    <row r="3" spans="1:27" ht="12.75">
      <c r="A3" t="s">
        <v>28</v>
      </c>
      <c r="B3">
        <f>PI()/4*B1^2</f>
        <v>0.031415926535897934</v>
      </c>
      <c r="C3" s="4">
        <v>1</v>
      </c>
      <c r="D3" s="4">
        <f>MAIN!F3</f>
        <v>12</v>
      </c>
      <c r="E3" s="8">
        <f>IF(D3=0,0,MAIN!G3*10^6)</f>
        <v>50000000</v>
      </c>
      <c r="F3" s="7">
        <f>IF(D3=0,0,MAIN!H3)</f>
        <v>0.3</v>
      </c>
      <c r="G3" s="10">
        <f>IF($B$13=1,E3/(2*(1+F3)),0.75*E3/(2*(1+F3))*(1+1.25*F3^2))</f>
        <v>16045673.076923076</v>
      </c>
      <c r="H3" s="10">
        <f>IF($B$13=1,E3*F3/((1+F3)*(1-2*F3)),0)</f>
        <v>0</v>
      </c>
      <c r="I3" s="10">
        <f>IF(D3=0,"",(H3+2*G3))</f>
        <v>32091346.153846152</v>
      </c>
      <c r="J3" s="10">
        <f aca="true" t="shared" si="0" ref="J3:J22">IF(D3=0,"",PI()*G3*((BESSELK($B$10,1)+$B$10*BESSELK($B$10,0))^2-($B$10^2+1)*(BESSELK($B$10,1))^2)/(BESSELK($B$10,0))^2)</f>
        <v>22540429.28409452</v>
      </c>
      <c r="K3" s="10">
        <f aca="true" t="shared" si="1" ref="K3:K22">IF(D3=0,"",0.5*PI()*$B$2^2*I3*((BESSELK($B$10,1))^2-(BESSELK($B$10,0))^2)/(BESSELK($B$10,0))^2)</f>
        <v>63422519.047246516</v>
      </c>
      <c r="L3" s="10">
        <f aca="true" t="shared" si="2" ref="L3:L22">IF(C3&lt;=$B$7,$B$5,I3)</f>
        <v>27000000000</v>
      </c>
      <c r="M3" s="10">
        <f>IF(D3=0,"",$B$3)</f>
        <v>0.031415926535897934</v>
      </c>
      <c r="N3" s="10">
        <f>IF(D3=0,"",SQRT(J3/(L3*M3+2*K3)))</f>
        <v>0.1520414730095885</v>
      </c>
      <c r="O3" s="10">
        <f>IF(D3=0,"",N3*(L3*M3+2*K3))</f>
        <v>148251847.5907755</v>
      </c>
      <c r="P3" s="10">
        <v>1</v>
      </c>
      <c r="Q3" s="10">
        <f>IF(D4=0,"",(O3+O4)*EXP(-(N3*D3-N4*D3))/(2*O3))</f>
        <v>2.8159247133115475</v>
      </c>
      <c r="R3" s="10">
        <f>IF(D4=0,"",(O3-O4)*EXP(-(N3*D3+N4*D3))/(2*O3))</f>
        <v>-0.004037360808988297</v>
      </c>
      <c r="S3" s="10">
        <v>-1.2211439907510102E+27</v>
      </c>
      <c r="T3" s="10">
        <v>2</v>
      </c>
      <c r="U3" s="10">
        <f>IF(D4=0,"",(O3-O4)*EXP((N3*D3+N4*D3))/(2*O3))</f>
        <v>-26.783752390860215</v>
      </c>
      <c r="V3" s="10">
        <f>IF(D4=0,"",(O3+O4)*EXP((N3*D3-N4*D3))/(2*O3))</f>
        <v>0.6270819105093751</v>
      </c>
      <c r="W3" s="10">
        <v>2.0193667652162114E+29</v>
      </c>
      <c r="X3" s="10">
        <f>IF(W3="","",S3/($O$3/$B$6*($W$3-$S$3)))</f>
        <v>-2.197518316591547E-05</v>
      </c>
      <c r="Y3" s="10">
        <f>IF(W3="","",W3/($O$3/$B$6*($W$3-$S$3)))</f>
        <v>0.0036339657633246846</v>
      </c>
      <c r="Z3" s="18">
        <f>IF(X3="","",G3*((X3^2)/(2*N3)*(EXP(2*N3*D3)-EXP(2*N3*D2))-(Y3^2)/(2*N3)*(EXP(-2*N3*D3)-EXP(-2*N3*D2))+2*X3*Y3*(D3-D2)))</f>
        <v>648.9027795815235</v>
      </c>
      <c r="AA3" s="18">
        <f>IF(X3="","",I3*((X3^2)*N3/(2)*(EXP(2*N3*D3)-EXP(2*N3*D2))-(Y3^2)*N3/(2)*(EXP(-2*N3*D3)-EXP(-2*N3*D2))-2*X3*Y3*N3^2*(D3-D2)))</f>
        <v>32.84445215170919</v>
      </c>
    </row>
    <row r="4" spans="1:27" ht="12.75">
      <c r="A4" t="s">
        <v>6</v>
      </c>
      <c r="B4">
        <f>MAIN!C3</f>
        <v>19</v>
      </c>
      <c r="C4" s="4">
        <v>2</v>
      </c>
      <c r="D4" s="4">
        <f>MAIN!F4</f>
        <v>19</v>
      </c>
      <c r="E4" s="8">
        <f>IF(D4=0,0,MAIN!G4*10^6)</f>
        <v>117000000</v>
      </c>
      <c r="F4" s="7">
        <f>IF(D4=0,0,MAIN!H4)</f>
        <v>0.3</v>
      </c>
      <c r="G4" s="10">
        <f aca="true" t="shared" si="3" ref="G4:G22">IF($B$13=1,E4/(2*(1+F4)),0.75*E4/(2*(1+F4))*(1+1.25*F4^2))</f>
        <v>37546875</v>
      </c>
      <c r="H4" s="10">
        <f aca="true" t="shared" si="4" ref="H4:H22">IF($B$13=1,E4*F4/((1+F4)*(1-2*F4)),0)</f>
        <v>0</v>
      </c>
      <c r="I4" s="10">
        <f aca="true" t="shared" si="5" ref="I4:I22">IF(D4=0,"",(H4+2*G4))</f>
        <v>75093750</v>
      </c>
      <c r="J4" s="10">
        <f t="shared" si="0"/>
        <v>52744604.524781175</v>
      </c>
      <c r="K4" s="10">
        <f t="shared" si="1"/>
        <v>148408694.57055685</v>
      </c>
      <c r="L4" s="10">
        <f t="shared" si="2"/>
        <v>27000000000</v>
      </c>
      <c r="M4" s="10">
        <f aca="true" t="shared" si="6" ref="M4:M22">IF(D4=0,"",$B$3)</f>
        <v>0.031415926535897934</v>
      </c>
      <c r="N4" s="10">
        <f aca="true" t="shared" si="7" ref="N4:N22">IF(D4=0,"",SQRT(J4/(L4*M4+2*K4)))</f>
        <v>0.2146235067895668</v>
      </c>
      <c r="O4" s="10">
        <f aca="true" t="shared" si="8" ref="O4:O22">IF(D4=0,"",N4*(L4*M4+2*K4))</f>
        <v>245754089.6323905</v>
      </c>
      <c r="P4" s="10">
        <v>3</v>
      </c>
      <c r="Q4" s="10">
        <f aca="true" t="shared" si="9" ref="Q4:Q22">IF(D5=0,"",(O4+O5)*EXP(-(N4*D4-N5*D4))/(2*O4))</f>
        <v>37.32268493017197</v>
      </c>
      <c r="R4" s="10">
        <f aca="true" t="shared" si="10" ref="R4:R22">IF(D5=0,"",(O4-O5)*EXP(-(N4*D4+N5*D4))/(2*O4))</f>
        <v>1.4206109485722763E-06</v>
      </c>
      <c r="S4" s="10">
        <v>2.8653615905655862E+25</v>
      </c>
      <c r="T4" s="10">
        <v>4</v>
      </c>
      <c r="U4" s="10">
        <f aca="true" t="shared" si="11" ref="U4:U22">IF(D5=0,"",(O4-O5)*EXP((N4*D4+N5*D4))/(2*O4))</f>
        <v>42054.10885245369</v>
      </c>
      <c r="V4" s="10">
        <f aca="true" t="shared" si="12" ref="V4:V22">IF(D5=0,"",(O4+O5)*EXP((N4*D4-N5*D4))/(2*O4))</f>
        <v>0.015296242413069119</v>
      </c>
      <c r="W4" s="10">
        <v>3.2364460178658484E+29</v>
      </c>
      <c r="X4" s="10">
        <f aca="true" t="shared" si="13" ref="X4:X22">IF(W4="","",S4/($O$3/$B$6*($W$3-$S$3)))</f>
        <v>5.156381742543948E-07</v>
      </c>
      <c r="Y4" s="10">
        <f aca="true" t="shared" si="14" ref="Y4:Y22">IF(W4="","",W4/($O$3/$B$6*($W$3-$S$3)))</f>
        <v>0.005824169351679784</v>
      </c>
      <c r="Z4" s="18">
        <f aca="true" t="shared" si="15" ref="Z4:Z22">IF(X4="","",G4*((X4^2)/(2*N4)*(EXP(2*N4*D4)-EXP(2*N4*D3))-(Y4^2)/(2*N4)*(EXP(-2*N4*D4)-EXP(-2*N4*D3))+2*X4*Y4*(D4-D3)))</f>
        <v>17.99470127229059</v>
      </c>
      <c r="AA4" s="18">
        <f aca="true" t="shared" si="16" ref="AA4:AA22">IF(X4="","",I4*((X4^2)*N4/(2)*(EXP(2*N4*D4)-EXP(2*N4*D3))-(Y4^2)*N4/(2)*(EXP(-2*N4*D4)-EXP(-2*N4*D3))-2*X4*Y4*N4^2*(D4-D3)))</f>
        <v>1.3669211635949785</v>
      </c>
    </row>
    <row r="5" spans="1:27" ht="12.75">
      <c r="A5" t="s">
        <v>16</v>
      </c>
      <c r="B5" s="16">
        <f>MAIN!C4*10^9</f>
        <v>27000000000</v>
      </c>
      <c r="C5" s="4">
        <v>3</v>
      </c>
      <c r="D5" s="4">
        <f>MAIN!F5</f>
        <v>21</v>
      </c>
      <c r="E5" s="8">
        <f>IF(D5=0,0,MAIN!G5*10^6)</f>
        <v>117000000</v>
      </c>
      <c r="F5" s="7">
        <f>IF(D5=0,0,MAIN!H5)</f>
        <v>0.3</v>
      </c>
      <c r="G5" s="10">
        <f t="shared" si="3"/>
        <v>37546875</v>
      </c>
      <c r="H5" s="10">
        <f t="shared" si="4"/>
        <v>0</v>
      </c>
      <c r="I5" s="10">
        <f t="shared" si="5"/>
        <v>75093750</v>
      </c>
      <c r="J5" s="10">
        <f t="shared" si="0"/>
        <v>52744604.524781175</v>
      </c>
      <c r="K5" s="10">
        <f t="shared" si="1"/>
        <v>148408694.57055685</v>
      </c>
      <c r="L5" s="10">
        <f t="shared" si="2"/>
        <v>75093750</v>
      </c>
      <c r="M5" s="10">
        <f t="shared" si="6"/>
        <v>0.031415926535897934</v>
      </c>
      <c r="N5" s="10">
        <f t="shared" si="7"/>
        <v>0.4198800697243515</v>
      </c>
      <c r="O5" s="10">
        <f t="shared" si="8"/>
        <v>125618261.80368042</v>
      </c>
      <c r="P5" s="10">
        <v>5</v>
      </c>
      <c r="Q5" s="10">
        <f t="shared" si="9"/>
        <v>1.0897435897435896</v>
      </c>
      <c r="R5" s="10">
        <f t="shared" si="10"/>
        <v>-1.968957531554556E-09</v>
      </c>
      <c r="S5" s="10">
        <v>-3.7499637404770285E+22</v>
      </c>
      <c r="T5" s="10">
        <v>6</v>
      </c>
      <c r="U5" s="10">
        <f t="shared" si="11"/>
        <v>-4090444.7003013357</v>
      </c>
      <c r="V5" s="10">
        <f t="shared" si="12"/>
        <v>1.0897435897435896</v>
      </c>
      <c r="W5" s="10">
        <v>2.158568509260231E+31</v>
      </c>
      <c r="X5" s="10">
        <f t="shared" si="13"/>
        <v>-6.748273806092595E-10</v>
      </c>
      <c r="Y5" s="10">
        <f t="shared" si="14"/>
        <v>0.38844672476337483</v>
      </c>
      <c r="Z5" s="18">
        <f t="shared" si="15"/>
        <v>0.6071854145464559</v>
      </c>
      <c r="AA5" s="18">
        <f t="shared" si="16"/>
        <v>0.24185582640728398</v>
      </c>
    </row>
    <row r="6" spans="1:27" ht="12.75">
      <c r="A6" t="s">
        <v>17</v>
      </c>
      <c r="B6">
        <f>MAIN!C12*10^3</f>
        <v>542000</v>
      </c>
      <c r="C6" s="4">
        <v>4</v>
      </c>
      <c r="D6" s="4">
        <f>MAIN!F6</f>
        <v>40</v>
      </c>
      <c r="E6" s="8">
        <f>IF(D6=0,0,MAIN!G6*10^6)</f>
        <v>138000000</v>
      </c>
      <c r="F6" s="7">
        <f>IF(D6=0,0,MAIN!H6)</f>
        <v>0.3</v>
      </c>
      <c r="G6" s="10">
        <f t="shared" si="3"/>
        <v>44286057.69230769</v>
      </c>
      <c r="H6" s="10">
        <f t="shared" si="4"/>
        <v>0</v>
      </c>
      <c r="I6" s="10">
        <f t="shared" si="5"/>
        <v>88572115.38461538</v>
      </c>
      <c r="J6" s="10">
        <f t="shared" si="0"/>
        <v>62211584.82410087</v>
      </c>
      <c r="K6" s="10">
        <f t="shared" si="1"/>
        <v>175046152.5704004</v>
      </c>
      <c r="L6" s="10">
        <f t="shared" si="2"/>
        <v>88572115.38461538</v>
      </c>
      <c r="M6" s="10">
        <f t="shared" si="6"/>
        <v>0.031415926535897934</v>
      </c>
      <c r="N6" s="10">
        <f t="shared" si="7"/>
        <v>0.4198800697243515</v>
      </c>
      <c r="O6" s="10">
        <f t="shared" si="8"/>
        <v>148165129.3069051</v>
      </c>
      <c r="P6" s="10">
        <v>7</v>
      </c>
      <c r="Q6" s="10">
        <f t="shared" si="9"/>
      </c>
      <c r="R6" s="10">
        <f t="shared" si="10"/>
      </c>
      <c r="S6" s="10">
        <v>0</v>
      </c>
      <c r="T6" s="10">
        <v>8</v>
      </c>
      <c r="U6" s="10">
        <f t="shared" si="11"/>
      </c>
      <c r="V6" s="10">
        <f t="shared" si="12"/>
      </c>
      <c r="W6" s="10">
        <v>1.9808040437917415E+31</v>
      </c>
      <c r="X6" s="10">
        <f t="shared" si="13"/>
        <v>0</v>
      </c>
      <c r="Y6" s="10">
        <f t="shared" si="14"/>
        <v>0.35645699448874396</v>
      </c>
      <c r="Z6" s="18">
        <f t="shared" si="15"/>
        <v>0.1470140722582067</v>
      </c>
      <c r="AA6" s="18">
        <f t="shared" si="16"/>
        <v>0.05183694810558878</v>
      </c>
    </row>
    <row r="7" spans="1:27" ht="15">
      <c r="A7" t="s">
        <v>9</v>
      </c>
      <c r="B7">
        <f>MAIN!C8</f>
        <v>2</v>
      </c>
      <c r="C7" s="4">
        <v>5</v>
      </c>
      <c r="D7" s="4">
        <f>MAIN!F7</f>
        <v>0</v>
      </c>
      <c r="E7" s="8">
        <f>IF(D7=0,0,MAIN!G7*10^6)</f>
        <v>0</v>
      </c>
      <c r="F7" s="7">
        <f>IF(D7=0,0,MAIN!H7)</f>
        <v>0</v>
      </c>
      <c r="G7" s="10">
        <f t="shared" si="3"/>
        <v>0</v>
      </c>
      <c r="H7" s="10">
        <f t="shared" si="4"/>
        <v>0</v>
      </c>
      <c r="I7" s="10">
        <f t="shared" si="5"/>
      </c>
      <c r="J7" s="10">
        <f t="shared" si="0"/>
      </c>
      <c r="K7" s="10">
        <f t="shared" si="1"/>
      </c>
      <c r="L7" s="10">
        <f t="shared" si="2"/>
      </c>
      <c r="M7" s="10">
        <f t="shared" si="6"/>
      </c>
      <c r="N7" s="10">
        <f t="shared" si="7"/>
      </c>
      <c r="O7" s="10">
        <f t="shared" si="8"/>
      </c>
      <c r="P7" s="10">
        <v>9</v>
      </c>
      <c r="Q7" s="10">
        <f t="shared" si="9"/>
      </c>
      <c r="R7" s="10">
        <f t="shared" si="10"/>
      </c>
      <c r="S7" s="10"/>
      <c r="T7" s="10">
        <v>10</v>
      </c>
      <c r="U7" s="10">
        <f t="shared" si="11"/>
      </c>
      <c r="V7" s="10">
        <f t="shared" si="12"/>
      </c>
      <c r="W7" s="10"/>
      <c r="X7" s="10">
        <f t="shared" si="13"/>
      </c>
      <c r="Y7" s="10">
        <f t="shared" si="14"/>
      </c>
      <c r="Z7" s="18">
        <f t="shared" si="15"/>
      </c>
      <c r="AA7" s="18">
        <f t="shared" si="16"/>
      </c>
    </row>
    <row r="8" spans="1:27" ht="15">
      <c r="A8" t="s">
        <v>10</v>
      </c>
      <c r="B8">
        <f>MAIN!C9</f>
        <v>2</v>
      </c>
      <c r="C8" s="4">
        <v>6</v>
      </c>
      <c r="D8" s="4">
        <f>MAIN!F8</f>
        <v>0</v>
      </c>
      <c r="E8" s="8">
        <f>IF(D8=0,0,MAIN!G8*10^6)</f>
        <v>0</v>
      </c>
      <c r="F8" s="7">
        <f>IF(D8=0,0,MAIN!H8)</f>
        <v>0</v>
      </c>
      <c r="G8" s="10">
        <f t="shared" si="3"/>
        <v>0</v>
      </c>
      <c r="H8" s="10">
        <f t="shared" si="4"/>
        <v>0</v>
      </c>
      <c r="I8" s="10">
        <f t="shared" si="5"/>
      </c>
      <c r="J8" s="10">
        <f t="shared" si="0"/>
      </c>
      <c r="K8" s="10">
        <f t="shared" si="1"/>
      </c>
      <c r="L8" s="10">
        <f t="shared" si="2"/>
      </c>
      <c r="M8" s="10">
        <f t="shared" si="6"/>
      </c>
      <c r="N8" s="10">
        <f t="shared" si="7"/>
      </c>
      <c r="O8" s="10">
        <f t="shared" si="8"/>
      </c>
      <c r="P8" s="10">
        <v>11</v>
      </c>
      <c r="Q8" s="10">
        <f t="shared" si="9"/>
      </c>
      <c r="R8" s="10">
        <f t="shared" si="10"/>
      </c>
      <c r="S8" s="10"/>
      <c r="T8" s="10">
        <v>12</v>
      </c>
      <c r="U8" s="10">
        <f t="shared" si="11"/>
      </c>
      <c r="V8" s="10">
        <f t="shared" si="12"/>
      </c>
      <c r="W8" s="10"/>
      <c r="X8" s="10">
        <f t="shared" si="13"/>
      </c>
      <c r="Y8" s="10">
        <f t="shared" si="14"/>
      </c>
      <c r="Z8" s="18">
        <f t="shared" si="15"/>
      </c>
      <c r="AA8" s="18">
        <f t="shared" si="16"/>
      </c>
    </row>
    <row r="9" spans="1:27" ht="12.75">
      <c r="A9" t="s">
        <v>7</v>
      </c>
      <c r="B9">
        <f>B7+B8</f>
        <v>4</v>
      </c>
      <c r="C9" s="4">
        <v>7</v>
      </c>
      <c r="D9" s="4">
        <f>MAIN!F9</f>
        <v>0</v>
      </c>
      <c r="E9" s="8">
        <f>IF(D9=0,0,MAIN!G9*10^6)</f>
        <v>0</v>
      </c>
      <c r="F9" s="7">
        <f>IF(D9=0,0,MAIN!H9)</f>
        <v>0</v>
      </c>
      <c r="G9" s="10">
        <f t="shared" si="3"/>
        <v>0</v>
      </c>
      <c r="H9" s="10">
        <f t="shared" si="4"/>
        <v>0</v>
      </c>
      <c r="I9" s="10">
        <f t="shared" si="5"/>
      </c>
      <c r="J9" s="10">
        <f t="shared" si="0"/>
      </c>
      <c r="K9" s="10">
        <f t="shared" si="1"/>
      </c>
      <c r="L9" s="10">
        <f t="shared" si="2"/>
      </c>
      <c r="M9" s="10">
        <f t="shared" si="6"/>
      </c>
      <c r="N9" s="10">
        <f t="shared" si="7"/>
      </c>
      <c r="O9" s="10">
        <f t="shared" si="8"/>
      </c>
      <c r="P9" s="10">
        <v>13</v>
      </c>
      <c r="Q9" s="10">
        <f t="shared" si="9"/>
      </c>
      <c r="R9" s="10">
        <f t="shared" si="10"/>
      </c>
      <c r="S9" s="10"/>
      <c r="T9" s="10">
        <v>14</v>
      </c>
      <c r="U9" s="10">
        <f t="shared" si="11"/>
      </c>
      <c r="V9" s="10">
        <f t="shared" si="12"/>
      </c>
      <c r="W9" s="10"/>
      <c r="X9" s="10">
        <f t="shared" si="13"/>
      </c>
      <c r="Y9" s="10">
        <f t="shared" si="14"/>
      </c>
      <c r="Z9" s="18">
        <f t="shared" si="15"/>
      </c>
      <c r="AA9" s="18">
        <f t="shared" si="16"/>
      </c>
    </row>
    <row r="10" spans="1:27" ht="15">
      <c r="A10" s="1" t="s">
        <v>11</v>
      </c>
      <c r="B10">
        <v>0.022742947244989018</v>
      </c>
      <c r="C10" s="4">
        <v>8</v>
      </c>
      <c r="D10" s="4">
        <f>MAIN!F10</f>
        <v>0</v>
      </c>
      <c r="E10" s="8">
        <f>IF(D10=0,0,MAIN!G10*10^6)</f>
        <v>0</v>
      </c>
      <c r="F10" s="7">
        <f>IF(D10=0,0,MAIN!H10)</f>
        <v>0</v>
      </c>
      <c r="G10" s="10">
        <f t="shared" si="3"/>
        <v>0</v>
      </c>
      <c r="H10" s="10">
        <f t="shared" si="4"/>
        <v>0</v>
      </c>
      <c r="I10" s="10">
        <f t="shared" si="5"/>
      </c>
      <c r="J10" s="10">
        <f t="shared" si="0"/>
      </c>
      <c r="K10" s="10">
        <f t="shared" si="1"/>
      </c>
      <c r="L10" s="10">
        <f t="shared" si="2"/>
      </c>
      <c r="M10" s="10">
        <f t="shared" si="6"/>
      </c>
      <c r="N10" s="10">
        <f t="shared" si="7"/>
      </c>
      <c r="O10" s="10">
        <f t="shared" si="8"/>
      </c>
      <c r="P10" s="10">
        <v>15</v>
      </c>
      <c r="Q10" s="10">
        <f t="shared" si="9"/>
      </c>
      <c r="R10" s="10">
        <f t="shared" si="10"/>
      </c>
      <c r="S10" s="10"/>
      <c r="T10" s="10">
        <v>16</v>
      </c>
      <c r="U10" s="10">
        <f t="shared" si="11"/>
      </c>
      <c r="V10" s="10">
        <f t="shared" si="12"/>
      </c>
      <c r="W10" s="10"/>
      <c r="X10" s="10">
        <f t="shared" si="13"/>
      </c>
      <c r="Y10" s="10">
        <f t="shared" si="14"/>
      </c>
      <c r="Z10" s="18">
        <f t="shared" si="15"/>
      </c>
      <c r="AA10" s="18">
        <f t="shared" si="16"/>
      </c>
    </row>
    <row r="11" spans="1:27" ht="15">
      <c r="A11" s="1" t="s">
        <v>14</v>
      </c>
      <c r="B11">
        <f>SQRT(AA23/Z23)*B2</f>
        <v>0.022733508097961444</v>
      </c>
      <c r="C11" s="4">
        <v>9</v>
      </c>
      <c r="D11" s="4">
        <f>MAIN!F11</f>
        <v>0</v>
      </c>
      <c r="E11" s="8">
        <f>IF(D11=0,0,MAIN!G11*10^6)</f>
        <v>0</v>
      </c>
      <c r="F11" s="7">
        <f>IF(D11=0,0,MAIN!H11)</f>
        <v>0</v>
      </c>
      <c r="G11" s="10">
        <f t="shared" si="3"/>
        <v>0</v>
      </c>
      <c r="H11" s="10">
        <f t="shared" si="4"/>
        <v>0</v>
      </c>
      <c r="I11" s="10">
        <f t="shared" si="5"/>
      </c>
      <c r="J11" s="10">
        <f t="shared" si="0"/>
      </c>
      <c r="K11" s="10">
        <f t="shared" si="1"/>
      </c>
      <c r="L11" s="10">
        <f t="shared" si="2"/>
      </c>
      <c r="M11" s="10">
        <f t="shared" si="6"/>
      </c>
      <c r="N11" s="10">
        <f t="shared" si="7"/>
      </c>
      <c r="O11" s="10">
        <f t="shared" si="8"/>
      </c>
      <c r="P11" s="10">
        <v>17</v>
      </c>
      <c r="Q11" s="10">
        <f t="shared" si="9"/>
      </c>
      <c r="R11" s="10">
        <f t="shared" si="10"/>
      </c>
      <c r="S11" s="10"/>
      <c r="T11" s="10">
        <v>18</v>
      </c>
      <c r="U11" s="10">
        <f t="shared" si="11"/>
      </c>
      <c r="V11" s="10">
        <f t="shared" si="12"/>
      </c>
      <c r="W11" s="10"/>
      <c r="X11" s="10">
        <f t="shared" si="13"/>
      </c>
      <c r="Y11" s="10">
        <f t="shared" si="14"/>
      </c>
      <c r="Z11" s="18">
        <f t="shared" si="15"/>
      </c>
      <c r="AA11" s="18">
        <f t="shared" si="16"/>
      </c>
    </row>
    <row r="12" spans="1:27" ht="15">
      <c r="A12" s="1" t="s">
        <v>41</v>
      </c>
      <c r="B12">
        <v>9.439147027574118E-06</v>
      </c>
      <c r="C12" s="4">
        <v>10</v>
      </c>
      <c r="D12" s="4">
        <f>MAIN!F12</f>
        <v>0</v>
      </c>
      <c r="E12" s="8">
        <f>IF(D12=0,0,MAIN!G12*10^6)</f>
        <v>0</v>
      </c>
      <c r="F12" s="7">
        <f>IF(D12=0,0,MAIN!H12)</f>
        <v>0</v>
      </c>
      <c r="G12" s="10">
        <f t="shared" si="3"/>
        <v>0</v>
      </c>
      <c r="H12" s="10">
        <f t="shared" si="4"/>
        <v>0</v>
      </c>
      <c r="I12" s="10">
        <f t="shared" si="5"/>
      </c>
      <c r="J12" s="10">
        <f t="shared" si="0"/>
      </c>
      <c r="K12" s="10">
        <f t="shared" si="1"/>
      </c>
      <c r="L12" s="10">
        <f t="shared" si="2"/>
      </c>
      <c r="M12" s="10">
        <f t="shared" si="6"/>
      </c>
      <c r="N12" s="10">
        <f t="shared" si="7"/>
      </c>
      <c r="O12" s="10">
        <f t="shared" si="8"/>
      </c>
      <c r="P12" s="10">
        <v>19</v>
      </c>
      <c r="Q12" s="10">
        <f t="shared" si="9"/>
      </c>
      <c r="R12" s="10">
        <f t="shared" si="10"/>
      </c>
      <c r="S12" s="10"/>
      <c r="T12" s="10">
        <v>20</v>
      </c>
      <c r="U12" s="10">
        <f t="shared" si="11"/>
      </c>
      <c r="V12" s="10">
        <f t="shared" si="12"/>
      </c>
      <c r="W12" s="10"/>
      <c r="X12" s="10">
        <f t="shared" si="13"/>
      </c>
      <c r="Y12" s="10">
        <f t="shared" si="14"/>
      </c>
      <c r="Z12" s="18">
        <f t="shared" si="15"/>
      </c>
      <c r="AA12" s="18">
        <f t="shared" si="16"/>
      </c>
    </row>
    <row r="13" spans="1:27" ht="12.75">
      <c r="A13" t="s">
        <v>39</v>
      </c>
      <c r="B13">
        <v>2</v>
      </c>
      <c r="C13" s="4">
        <v>11</v>
      </c>
      <c r="D13" s="4">
        <f>MAIN!F13</f>
        <v>0</v>
      </c>
      <c r="E13" s="8">
        <f>IF(D13=0,0,MAIN!G13*10^6)</f>
        <v>0</v>
      </c>
      <c r="F13" s="7">
        <f>IF(D13=0,0,MAIN!H13)</f>
        <v>0</v>
      </c>
      <c r="G13" s="10">
        <f t="shared" si="3"/>
        <v>0</v>
      </c>
      <c r="H13" s="10">
        <f t="shared" si="4"/>
        <v>0</v>
      </c>
      <c r="I13" s="10">
        <f t="shared" si="5"/>
      </c>
      <c r="J13" s="10">
        <f t="shared" si="0"/>
      </c>
      <c r="K13" s="10">
        <f t="shared" si="1"/>
      </c>
      <c r="L13" s="10">
        <f t="shared" si="2"/>
      </c>
      <c r="M13" s="10">
        <f t="shared" si="6"/>
      </c>
      <c r="N13" s="10">
        <f t="shared" si="7"/>
      </c>
      <c r="O13" s="10">
        <f t="shared" si="8"/>
      </c>
      <c r="P13" s="10">
        <v>21</v>
      </c>
      <c r="Q13" s="10">
        <f t="shared" si="9"/>
      </c>
      <c r="R13" s="10">
        <f t="shared" si="10"/>
      </c>
      <c r="S13" s="10"/>
      <c r="T13" s="10">
        <v>22</v>
      </c>
      <c r="U13" s="10">
        <f t="shared" si="11"/>
      </c>
      <c r="V13" s="10">
        <f t="shared" si="12"/>
      </c>
      <c r="W13" s="10"/>
      <c r="X13" s="10">
        <f t="shared" si="13"/>
      </c>
      <c r="Y13" s="10">
        <f t="shared" si="14"/>
      </c>
      <c r="Z13" s="18">
        <f t="shared" si="15"/>
      </c>
      <c r="AA13" s="18">
        <f t="shared" si="16"/>
      </c>
    </row>
    <row r="14" spans="1:27" ht="12.75">
      <c r="A14" s="1"/>
      <c r="C14" s="4">
        <v>12</v>
      </c>
      <c r="D14" s="4">
        <f>MAIN!F14</f>
        <v>0</v>
      </c>
      <c r="E14" s="8">
        <f>IF(D14=0,0,MAIN!G14*10^6)</f>
        <v>0</v>
      </c>
      <c r="F14" s="7">
        <f>IF(D14=0,0,MAIN!H14)</f>
        <v>0</v>
      </c>
      <c r="G14" s="10">
        <f t="shared" si="3"/>
        <v>0</v>
      </c>
      <c r="H14" s="10">
        <f t="shared" si="4"/>
        <v>0</v>
      </c>
      <c r="I14" s="10">
        <f t="shared" si="5"/>
      </c>
      <c r="J14" s="10">
        <f t="shared" si="0"/>
      </c>
      <c r="K14" s="10">
        <f t="shared" si="1"/>
      </c>
      <c r="L14" s="10">
        <f t="shared" si="2"/>
      </c>
      <c r="M14" s="10">
        <f t="shared" si="6"/>
      </c>
      <c r="N14" s="10">
        <f t="shared" si="7"/>
      </c>
      <c r="O14" s="10">
        <f t="shared" si="8"/>
      </c>
      <c r="P14" s="10">
        <v>23</v>
      </c>
      <c r="Q14" s="10">
        <f t="shared" si="9"/>
      </c>
      <c r="R14" s="10">
        <f t="shared" si="10"/>
      </c>
      <c r="S14" s="10"/>
      <c r="T14" s="10">
        <v>24</v>
      </c>
      <c r="U14" s="10">
        <f t="shared" si="11"/>
      </c>
      <c r="V14" s="10">
        <f t="shared" si="12"/>
      </c>
      <c r="W14" s="10"/>
      <c r="X14" s="10">
        <f t="shared" si="13"/>
      </c>
      <c r="Y14" s="10">
        <f t="shared" si="14"/>
      </c>
      <c r="Z14" s="18">
        <f t="shared" si="15"/>
      </c>
      <c r="AA14" s="18">
        <f t="shared" si="16"/>
      </c>
    </row>
    <row r="15" spans="1:27" ht="12.75">
      <c r="A15" s="1"/>
      <c r="C15" s="4">
        <v>13</v>
      </c>
      <c r="D15" s="4">
        <f>MAIN!F15</f>
        <v>0</v>
      </c>
      <c r="E15" s="8">
        <f>IF(D15=0,0,MAIN!G15*10^6)</f>
        <v>0</v>
      </c>
      <c r="F15" s="7">
        <f>IF(D15=0,0,MAIN!H15)</f>
        <v>0</v>
      </c>
      <c r="G15" s="10">
        <f t="shared" si="3"/>
        <v>0</v>
      </c>
      <c r="H15" s="10">
        <f t="shared" si="4"/>
        <v>0</v>
      </c>
      <c r="I15" s="10">
        <f t="shared" si="5"/>
      </c>
      <c r="J15" s="10">
        <f t="shared" si="0"/>
      </c>
      <c r="K15" s="10">
        <f t="shared" si="1"/>
      </c>
      <c r="L15" s="10">
        <f t="shared" si="2"/>
      </c>
      <c r="M15" s="10">
        <f t="shared" si="6"/>
      </c>
      <c r="N15" s="10">
        <f t="shared" si="7"/>
      </c>
      <c r="O15" s="10">
        <f t="shared" si="8"/>
      </c>
      <c r="P15" s="10">
        <v>25</v>
      </c>
      <c r="Q15" s="10">
        <f t="shared" si="9"/>
      </c>
      <c r="R15" s="10">
        <f t="shared" si="10"/>
      </c>
      <c r="S15" s="10"/>
      <c r="T15" s="10">
        <v>26</v>
      </c>
      <c r="U15" s="10">
        <f t="shared" si="11"/>
      </c>
      <c r="V15" s="10">
        <f t="shared" si="12"/>
      </c>
      <c r="W15" s="10"/>
      <c r="X15" s="10">
        <f t="shared" si="13"/>
      </c>
      <c r="Y15" s="10">
        <f t="shared" si="14"/>
      </c>
      <c r="Z15" s="18">
        <f t="shared" si="15"/>
      </c>
      <c r="AA15" s="18">
        <f t="shared" si="16"/>
      </c>
    </row>
    <row r="16" spans="3:27" ht="12.75">
      <c r="C16" s="4">
        <v>14</v>
      </c>
      <c r="D16" s="4">
        <f>MAIN!F16</f>
        <v>0</v>
      </c>
      <c r="E16" s="8">
        <f>IF(D16=0,0,MAIN!G16*10^6)</f>
        <v>0</v>
      </c>
      <c r="F16" s="7">
        <f>IF(D16=0,0,MAIN!H16)</f>
        <v>0</v>
      </c>
      <c r="G16" s="10">
        <f t="shared" si="3"/>
        <v>0</v>
      </c>
      <c r="H16" s="10">
        <f t="shared" si="4"/>
        <v>0</v>
      </c>
      <c r="I16" s="10">
        <f t="shared" si="5"/>
      </c>
      <c r="J16" s="10">
        <f t="shared" si="0"/>
      </c>
      <c r="K16" s="10">
        <f t="shared" si="1"/>
      </c>
      <c r="L16" s="10">
        <f t="shared" si="2"/>
      </c>
      <c r="M16" s="10">
        <f t="shared" si="6"/>
      </c>
      <c r="N16" s="10">
        <f t="shared" si="7"/>
      </c>
      <c r="O16" s="10">
        <f t="shared" si="8"/>
      </c>
      <c r="P16" s="10">
        <v>27</v>
      </c>
      <c r="Q16" s="10">
        <f t="shared" si="9"/>
      </c>
      <c r="R16" s="10">
        <f t="shared" si="10"/>
      </c>
      <c r="S16" s="10"/>
      <c r="T16" s="10">
        <v>28</v>
      </c>
      <c r="U16" s="10">
        <f t="shared" si="11"/>
      </c>
      <c r="V16" s="10">
        <f t="shared" si="12"/>
      </c>
      <c r="W16" s="10"/>
      <c r="X16" s="10">
        <f t="shared" si="13"/>
      </c>
      <c r="Y16" s="10">
        <f t="shared" si="14"/>
      </c>
      <c r="Z16" s="18">
        <f t="shared" si="15"/>
      </c>
      <c r="AA16" s="18">
        <f t="shared" si="16"/>
      </c>
    </row>
    <row r="17" spans="3:27" ht="12.75">
      <c r="C17" s="4">
        <v>15</v>
      </c>
      <c r="D17" s="4">
        <f>MAIN!F17</f>
        <v>0</v>
      </c>
      <c r="E17" s="8">
        <f>IF(D17=0,0,MAIN!G17*10^6)</f>
        <v>0</v>
      </c>
      <c r="F17" s="7">
        <f>IF(D17=0,0,MAIN!H17)</f>
        <v>0</v>
      </c>
      <c r="G17" s="10">
        <f t="shared" si="3"/>
        <v>0</v>
      </c>
      <c r="H17" s="10">
        <f t="shared" si="4"/>
        <v>0</v>
      </c>
      <c r="I17" s="10">
        <f t="shared" si="5"/>
      </c>
      <c r="J17" s="10">
        <f t="shared" si="0"/>
      </c>
      <c r="K17" s="10">
        <f t="shared" si="1"/>
      </c>
      <c r="L17" s="10">
        <f t="shared" si="2"/>
      </c>
      <c r="M17" s="10">
        <f t="shared" si="6"/>
      </c>
      <c r="N17" s="10">
        <f t="shared" si="7"/>
      </c>
      <c r="O17" s="10">
        <f t="shared" si="8"/>
      </c>
      <c r="P17" s="10">
        <v>29</v>
      </c>
      <c r="Q17" s="10">
        <f t="shared" si="9"/>
      </c>
      <c r="R17" s="10">
        <f t="shared" si="10"/>
      </c>
      <c r="S17" s="10"/>
      <c r="T17" s="10">
        <v>30</v>
      </c>
      <c r="U17" s="10">
        <f t="shared" si="11"/>
      </c>
      <c r="V17" s="10">
        <f t="shared" si="12"/>
      </c>
      <c r="W17" s="10"/>
      <c r="X17" s="10">
        <f t="shared" si="13"/>
      </c>
      <c r="Y17" s="10">
        <f t="shared" si="14"/>
      </c>
      <c r="Z17" s="18">
        <f t="shared" si="15"/>
      </c>
      <c r="AA17" s="18">
        <f t="shared" si="16"/>
      </c>
    </row>
    <row r="18" spans="3:27" ht="12.75">
      <c r="C18" s="4">
        <v>16</v>
      </c>
      <c r="D18" s="4">
        <f>MAIN!F18</f>
        <v>0</v>
      </c>
      <c r="E18" s="8">
        <f>IF(D18=0,0,MAIN!G18*10^6)</f>
        <v>0</v>
      </c>
      <c r="F18" s="7">
        <f>IF(D18=0,0,MAIN!H18)</f>
        <v>0</v>
      </c>
      <c r="G18" s="10">
        <f t="shared" si="3"/>
        <v>0</v>
      </c>
      <c r="H18" s="10">
        <f t="shared" si="4"/>
        <v>0</v>
      </c>
      <c r="I18" s="10">
        <f t="shared" si="5"/>
      </c>
      <c r="J18" s="10">
        <f t="shared" si="0"/>
      </c>
      <c r="K18" s="10">
        <f t="shared" si="1"/>
      </c>
      <c r="L18" s="10">
        <f t="shared" si="2"/>
      </c>
      <c r="M18" s="10">
        <f t="shared" si="6"/>
      </c>
      <c r="N18" s="10">
        <f t="shared" si="7"/>
      </c>
      <c r="O18" s="10">
        <f t="shared" si="8"/>
      </c>
      <c r="P18" s="10">
        <v>31</v>
      </c>
      <c r="Q18" s="10">
        <f t="shared" si="9"/>
      </c>
      <c r="R18" s="10">
        <f t="shared" si="10"/>
      </c>
      <c r="S18" s="10"/>
      <c r="T18" s="10">
        <v>32</v>
      </c>
      <c r="U18" s="10">
        <f t="shared" si="11"/>
      </c>
      <c r="V18" s="10">
        <f t="shared" si="12"/>
      </c>
      <c r="W18" s="10"/>
      <c r="X18" s="10">
        <f t="shared" si="13"/>
      </c>
      <c r="Y18" s="10">
        <f t="shared" si="14"/>
      </c>
      <c r="Z18" s="18">
        <f t="shared" si="15"/>
      </c>
      <c r="AA18" s="18">
        <f t="shared" si="16"/>
      </c>
    </row>
    <row r="19" spans="3:27" ht="12.75">
      <c r="C19" s="4">
        <v>17</v>
      </c>
      <c r="D19" s="4">
        <f>MAIN!F19</f>
        <v>0</v>
      </c>
      <c r="E19" s="8">
        <f>IF(D19=0,0,MAIN!G19*10^6)</f>
        <v>0</v>
      </c>
      <c r="F19" s="7">
        <f>IF(D19=0,0,MAIN!H19)</f>
        <v>0</v>
      </c>
      <c r="G19" s="10">
        <f t="shared" si="3"/>
        <v>0</v>
      </c>
      <c r="H19" s="10">
        <f t="shared" si="4"/>
        <v>0</v>
      </c>
      <c r="I19" s="10">
        <f t="shared" si="5"/>
      </c>
      <c r="J19" s="10">
        <f t="shared" si="0"/>
      </c>
      <c r="K19" s="10">
        <f t="shared" si="1"/>
      </c>
      <c r="L19" s="10">
        <f t="shared" si="2"/>
      </c>
      <c r="M19" s="10">
        <f t="shared" si="6"/>
      </c>
      <c r="N19" s="10">
        <f t="shared" si="7"/>
      </c>
      <c r="O19" s="10">
        <f t="shared" si="8"/>
      </c>
      <c r="P19" s="10">
        <v>33</v>
      </c>
      <c r="Q19" s="10">
        <f t="shared" si="9"/>
      </c>
      <c r="R19" s="10">
        <f t="shared" si="10"/>
      </c>
      <c r="S19" s="10"/>
      <c r="T19" s="10">
        <v>34</v>
      </c>
      <c r="U19" s="10">
        <f t="shared" si="11"/>
      </c>
      <c r="V19" s="10">
        <f t="shared" si="12"/>
      </c>
      <c r="W19" s="10"/>
      <c r="X19" s="10">
        <f t="shared" si="13"/>
      </c>
      <c r="Y19" s="10">
        <f t="shared" si="14"/>
      </c>
      <c r="Z19" s="18">
        <f t="shared" si="15"/>
      </c>
      <c r="AA19" s="18">
        <f t="shared" si="16"/>
      </c>
    </row>
    <row r="20" spans="1:27" ht="12.75">
      <c r="A20" t="s">
        <v>61</v>
      </c>
      <c r="B20">
        <f>PlotTable!F5</f>
        <v>3.611990580158769</v>
      </c>
      <c r="C20" s="4">
        <v>18</v>
      </c>
      <c r="D20" s="4">
        <f>MAIN!F20</f>
        <v>0</v>
      </c>
      <c r="E20" s="8">
        <f>IF(D20=0,0,MAIN!G20*10^6)</f>
        <v>0</v>
      </c>
      <c r="F20" s="7">
        <f>IF(D20=0,0,MAIN!H20)</f>
        <v>0</v>
      </c>
      <c r="G20" s="10">
        <f t="shared" si="3"/>
        <v>0</v>
      </c>
      <c r="H20" s="10">
        <f t="shared" si="4"/>
        <v>0</v>
      </c>
      <c r="I20" s="10">
        <f t="shared" si="5"/>
      </c>
      <c r="J20" s="10">
        <f t="shared" si="0"/>
      </c>
      <c r="K20" s="10">
        <f t="shared" si="1"/>
      </c>
      <c r="L20" s="10">
        <f t="shared" si="2"/>
      </c>
      <c r="M20" s="10">
        <f t="shared" si="6"/>
      </c>
      <c r="N20" s="10">
        <f t="shared" si="7"/>
      </c>
      <c r="O20" s="10">
        <f t="shared" si="8"/>
      </c>
      <c r="P20" s="10">
        <v>35</v>
      </c>
      <c r="Q20" s="10">
        <f t="shared" si="9"/>
      </c>
      <c r="R20" s="10">
        <f t="shared" si="10"/>
      </c>
      <c r="S20" s="10"/>
      <c r="T20" s="10">
        <v>36</v>
      </c>
      <c r="U20" s="10">
        <f t="shared" si="11"/>
      </c>
      <c r="V20" s="10">
        <f t="shared" si="12"/>
      </c>
      <c r="W20" s="10"/>
      <c r="X20" s="10">
        <f t="shared" si="13"/>
      </c>
      <c r="Y20" s="10">
        <f t="shared" si="14"/>
      </c>
      <c r="Z20" s="18">
        <f t="shared" si="15"/>
      </c>
      <c r="AA20" s="18">
        <f t="shared" si="16"/>
      </c>
    </row>
    <row r="21" spans="1:27" ht="12.75">
      <c r="A21" t="s">
        <v>62</v>
      </c>
      <c r="B21">
        <f>PlotTable!F105</f>
        <v>0.13127774820061125</v>
      </c>
      <c r="C21" s="4">
        <v>19</v>
      </c>
      <c r="D21" s="4">
        <f>MAIN!F21</f>
        <v>0</v>
      </c>
      <c r="E21" s="8">
        <f>IF(D21=0,0,MAIN!G21*10^6)</f>
        <v>0</v>
      </c>
      <c r="F21" s="7">
        <f>IF(D21=0,0,MAIN!H21)</f>
        <v>0</v>
      </c>
      <c r="G21" s="10">
        <f t="shared" si="3"/>
        <v>0</v>
      </c>
      <c r="H21" s="10">
        <f t="shared" si="4"/>
        <v>0</v>
      </c>
      <c r="I21" s="10">
        <f t="shared" si="5"/>
      </c>
      <c r="J21" s="10">
        <f t="shared" si="0"/>
      </c>
      <c r="K21" s="10">
        <f t="shared" si="1"/>
      </c>
      <c r="L21" s="10">
        <f t="shared" si="2"/>
      </c>
      <c r="M21" s="10">
        <f t="shared" si="6"/>
      </c>
      <c r="N21" s="10">
        <f t="shared" si="7"/>
      </c>
      <c r="O21" s="10">
        <f t="shared" si="8"/>
      </c>
      <c r="P21" s="10">
        <v>37</v>
      </c>
      <c r="Q21" s="10">
        <f t="shared" si="9"/>
      </c>
      <c r="R21" s="10">
        <f t="shared" si="10"/>
      </c>
      <c r="S21" s="10"/>
      <c r="T21" s="10">
        <v>38</v>
      </c>
      <c r="U21" s="10">
        <f t="shared" si="11"/>
      </c>
      <c r="V21" s="10">
        <f t="shared" si="12"/>
      </c>
      <c r="W21" s="10"/>
      <c r="X21" s="10">
        <f t="shared" si="13"/>
      </c>
      <c r="Y21" s="10">
        <f t="shared" si="14"/>
      </c>
      <c r="Z21" s="18">
        <f t="shared" si="15"/>
      </c>
      <c r="AA21" s="18">
        <f t="shared" si="16"/>
      </c>
    </row>
    <row r="22" spans="1:27" ht="12.75">
      <c r="A22" t="s">
        <v>60</v>
      </c>
      <c r="B22">
        <f>PlotTable!G105</f>
        <v>16.98514294704582</v>
      </c>
      <c r="C22" s="4">
        <v>20</v>
      </c>
      <c r="D22" s="4">
        <f>MAIN!F22</f>
        <v>0</v>
      </c>
      <c r="E22" s="8">
        <f>IF(D22=0,0,MAIN!G22*10^6)</f>
        <v>0</v>
      </c>
      <c r="F22" s="7">
        <f>IF(D22=0,0,MAIN!H22)</f>
        <v>0</v>
      </c>
      <c r="G22" s="10">
        <f t="shared" si="3"/>
        <v>0</v>
      </c>
      <c r="H22" s="10">
        <f t="shared" si="4"/>
        <v>0</v>
      </c>
      <c r="I22" s="10">
        <f t="shared" si="5"/>
      </c>
      <c r="J22" s="10">
        <f t="shared" si="0"/>
      </c>
      <c r="K22" s="10">
        <f t="shared" si="1"/>
      </c>
      <c r="L22" s="10">
        <f t="shared" si="2"/>
      </c>
      <c r="M22" s="10">
        <f t="shared" si="6"/>
      </c>
      <c r="N22" s="10">
        <f t="shared" si="7"/>
      </c>
      <c r="O22" s="10">
        <f t="shared" si="8"/>
      </c>
      <c r="P22" s="10">
        <v>39</v>
      </c>
      <c r="Q22" s="10">
        <f t="shared" si="9"/>
      </c>
      <c r="R22" s="10">
        <f t="shared" si="10"/>
      </c>
      <c r="S22" s="10"/>
      <c r="T22" s="10">
        <v>40</v>
      </c>
      <c r="U22" s="10">
        <f t="shared" si="11"/>
      </c>
      <c r="V22" s="10">
        <f t="shared" si="12"/>
      </c>
      <c r="W22" s="10"/>
      <c r="X22" s="10">
        <f t="shared" si="13"/>
      </c>
      <c r="Y22" s="10">
        <f t="shared" si="14"/>
      </c>
      <c r="Z22" s="18">
        <f t="shared" si="15"/>
      </c>
      <c r="AA22" s="18">
        <f t="shared" si="16"/>
      </c>
    </row>
    <row r="23" spans="24:27" s="32" customFormat="1" ht="12.75">
      <c r="X23" s="33"/>
      <c r="Y23" s="33" t="s">
        <v>40</v>
      </c>
      <c r="Z23" s="32">
        <f>SUM(Z3:Z22)</f>
        <v>667.6516803406189</v>
      </c>
      <c r="AA23" s="32">
        <f>SUM(AA3:AA22)</f>
        <v>34.50506608981704</v>
      </c>
    </row>
    <row r="24" spans="1:27" s="32" customFormat="1" ht="12.75">
      <c r="A24" s="32">
        <v>1</v>
      </c>
      <c r="B24" s="32">
        <v>2</v>
      </c>
      <c r="C24" s="33">
        <v>3</v>
      </c>
      <c r="D24" s="32">
        <v>4</v>
      </c>
      <c r="E24" s="32">
        <v>5</v>
      </c>
      <c r="F24" s="32">
        <v>6</v>
      </c>
      <c r="G24" s="32">
        <v>7</v>
      </c>
      <c r="H24" s="33">
        <v>8</v>
      </c>
      <c r="I24" s="32">
        <v>9</v>
      </c>
      <c r="J24" s="32">
        <v>10</v>
      </c>
      <c r="K24" s="32">
        <v>11</v>
      </c>
      <c r="L24" s="32">
        <v>12</v>
      </c>
      <c r="M24" s="33">
        <v>13</v>
      </c>
      <c r="N24" s="32">
        <v>14</v>
      </c>
      <c r="O24" s="32">
        <v>15</v>
      </c>
      <c r="P24" s="32">
        <v>16</v>
      </c>
      <c r="Q24" s="32">
        <v>17</v>
      </c>
      <c r="R24" s="33">
        <v>18</v>
      </c>
      <c r="S24" s="32">
        <v>19</v>
      </c>
      <c r="T24" s="32">
        <v>20</v>
      </c>
      <c r="U24" s="32">
        <v>21</v>
      </c>
      <c r="V24" s="32">
        <v>22</v>
      </c>
      <c r="W24" s="33">
        <v>23</v>
      </c>
      <c r="X24" s="32">
        <v>24</v>
      </c>
      <c r="Y24" s="32">
        <v>25</v>
      </c>
      <c r="Z24" s="32">
        <v>26</v>
      </c>
      <c r="AA24" s="32">
        <v>27</v>
      </c>
    </row>
    <row r="25" spans="24:25" s="32" customFormat="1" ht="12.75">
      <c r="X25" s="33"/>
      <c r="Y25" s="33"/>
    </row>
    <row r="26" spans="24:25" s="34" customFormat="1" ht="12.75">
      <c r="X26" s="33"/>
      <c r="Y26" s="35"/>
    </row>
    <row r="27" ht="12.75">
      <c r="X27" s="17"/>
    </row>
    <row r="28" ht="12.75">
      <c r="X28" s="17"/>
    </row>
    <row r="29" ht="12.75">
      <c r="X29" s="17"/>
    </row>
    <row r="30" ht="12.75">
      <c r="X30" s="17"/>
    </row>
    <row r="31" ht="12.75">
      <c r="X31" s="17"/>
    </row>
    <row r="32" ht="12.75">
      <c r="X32" s="17"/>
    </row>
    <row r="33" ht="12.75">
      <c r="X33" s="17"/>
    </row>
    <row r="34" ht="12.75">
      <c r="X34" s="17"/>
    </row>
    <row r="35" ht="12.75">
      <c r="X35" s="17"/>
    </row>
    <row r="36" ht="12.75">
      <c r="X36" s="17"/>
    </row>
    <row r="37" ht="12.75">
      <c r="X37" s="17"/>
    </row>
    <row r="38" ht="12.75">
      <c r="X38" s="17"/>
    </row>
    <row r="39" ht="12.75">
      <c r="X39" s="17"/>
    </row>
    <row r="40" ht="12.75">
      <c r="X40" s="17"/>
    </row>
    <row r="41" ht="12.75">
      <c r="X41" s="17"/>
    </row>
    <row r="42" ht="12.75">
      <c r="X42" s="17"/>
    </row>
  </sheetData>
  <sheetProtection/>
  <printOptions/>
  <pageMargins left="0.75" right="0.75" top="1" bottom="1" header="0.5" footer="0.5"/>
  <pageSetup orientation="portrait" r:id="rId6"/>
  <legacyDrawing r:id="rId5"/>
  <oleObjects>
    <oleObject progId="Equation.DSMT4" shapeId="43677796" r:id="rId1"/>
    <oleObject progId="Equation.DSMT4" shapeId="43678240" r:id="rId2"/>
    <oleObject progId="Equation.DSMT4" shapeId="43768515" r:id="rId3"/>
    <oleObject progId="Equation.DSMT4" shapeId="437858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A105"/>
  <sheetViews>
    <sheetView zoomScalePageLayoutView="0" workbookViewId="0" topLeftCell="A1">
      <selection activeCell="I3" sqref="I3"/>
    </sheetView>
  </sheetViews>
  <sheetFormatPr defaultColWidth="9.140625" defaultRowHeight="12.75"/>
  <sheetData>
    <row r="1" spans="1:26" ht="15">
      <c r="A1" t="s">
        <v>46</v>
      </c>
      <c r="B1" t="s">
        <v>47</v>
      </c>
      <c r="C1" s="1" t="s">
        <v>43</v>
      </c>
      <c r="D1" s="1" t="s">
        <v>48</v>
      </c>
      <c r="E1" t="s">
        <v>45</v>
      </c>
      <c r="F1" t="s">
        <v>44</v>
      </c>
      <c r="G1" t="s">
        <v>12</v>
      </c>
      <c r="H1" s="1" t="s">
        <v>14</v>
      </c>
      <c r="I1" s="1" t="s">
        <v>59</v>
      </c>
      <c r="J1" t="s">
        <v>65</v>
      </c>
      <c r="N1" t="s">
        <v>63</v>
      </c>
      <c r="P1" t="s">
        <v>71</v>
      </c>
      <c r="V1" t="s">
        <v>73</v>
      </c>
      <c r="Z1" t="s">
        <v>114</v>
      </c>
    </row>
    <row r="2" spans="1:16" ht="12.75">
      <c r="A2">
        <v>100</v>
      </c>
      <c r="B2">
        <v>100</v>
      </c>
      <c r="C2">
        <f>CALS!B4/A2</f>
        <v>0.19</v>
      </c>
      <c r="D2">
        <f>50*CALS!B1/B2</f>
        <v>0.1</v>
      </c>
      <c r="E2">
        <f>CALS!B7</f>
        <v>2</v>
      </c>
      <c r="F2">
        <f>CALS!B8</f>
        <v>2</v>
      </c>
      <c r="G2">
        <f>CALS!B2</f>
        <v>0.1</v>
      </c>
      <c r="H2">
        <f>CALS!B11</f>
        <v>0.022733508097961444</v>
      </c>
      <c r="I2">
        <v>1.075</v>
      </c>
      <c r="J2">
        <f>CALS!B4</f>
        <v>19</v>
      </c>
      <c r="P2">
        <v>2</v>
      </c>
    </row>
    <row r="4" spans="1:27" ht="15">
      <c r="A4" t="s">
        <v>52</v>
      </c>
      <c r="B4" s="1" t="s">
        <v>90</v>
      </c>
      <c r="C4" t="s">
        <v>49</v>
      </c>
      <c r="D4" t="s">
        <v>50</v>
      </c>
      <c r="E4" t="s">
        <v>51</v>
      </c>
      <c r="F4" t="s">
        <v>102</v>
      </c>
      <c r="G4" t="s">
        <v>53</v>
      </c>
      <c r="H4" t="s">
        <v>58</v>
      </c>
      <c r="I4" t="s">
        <v>54</v>
      </c>
      <c r="J4" t="s">
        <v>55</v>
      </c>
      <c r="K4" t="s">
        <v>56</v>
      </c>
      <c r="L4" t="s">
        <v>57</v>
      </c>
      <c r="N4" t="s">
        <v>66</v>
      </c>
      <c r="O4" t="s">
        <v>67</v>
      </c>
      <c r="P4" t="s">
        <v>68</v>
      </c>
      <c r="Q4" t="s">
        <v>69</v>
      </c>
      <c r="R4" t="s">
        <v>54</v>
      </c>
      <c r="S4" t="s">
        <v>70</v>
      </c>
      <c r="T4" t="s">
        <v>57</v>
      </c>
      <c r="V4" t="s">
        <v>42</v>
      </c>
      <c r="W4" t="s">
        <v>64</v>
      </c>
      <c r="X4" t="s">
        <v>64</v>
      </c>
      <c r="Z4" t="s">
        <v>116</v>
      </c>
      <c r="AA4" t="s">
        <v>115</v>
      </c>
    </row>
    <row r="5" spans="1:27" ht="12.75">
      <c r="A5">
        <v>0</v>
      </c>
      <c r="B5">
        <v>0.1520414730095885</v>
      </c>
      <c r="C5">
        <v>148251847.5907755</v>
      </c>
      <c r="D5">
        <v>-2.197518316591547E-05</v>
      </c>
      <c r="E5">
        <v>0.0036339657633246846</v>
      </c>
      <c r="F5">
        <f>(D5*EXP(B5*A5)+E5*EXP(-B5*A5))*1000</f>
        <v>3.611990580158769</v>
      </c>
      <c r="G5">
        <f>(-C5*D5*EXP(B5*A5)+C5*E5*EXP(-B5*A5))/1000</f>
        <v>542</v>
      </c>
      <c r="H5">
        <v>1</v>
      </c>
      <c r="I5">
        <f>0</f>
        <v>0</v>
      </c>
      <c r="J5">
        <f aca="true" t="shared" si="0" ref="J5:J36">IF(I5&lt;=$G$2,1,BESSELK($H$2/$G$2*I5,0)/BESSELK($H$2,0))</f>
        <v>1</v>
      </c>
      <c r="K5">
        <f>$F$5*J5</f>
        <v>3.611990580158769</v>
      </c>
      <c r="L5">
        <f>$F$105*J5</f>
        <v>0.13127774820061125</v>
      </c>
      <c r="N5">
        <v>0</v>
      </c>
      <c r="O5">
        <f>G2</f>
        <v>0.1</v>
      </c>
      <c r="P5">
        <f>IF(P2=1,N5,N5+$F$5/PLOT!$K$10)</f>
        <v>0.7223981160317539</v>
      </c>
      <c r="Q5">
        <f>O5</f>
        <v>0.1</v>
      </c>
      <c r="R5">
        <f>-I5</f>
        <v>0</v>
      </c>
      <c r="S5">
        <f>IF($P$2=1,0,K5/PLOT!$K$10)</f>
        <v>0.7223981160317539</v>
      </c>
      <c r="T5">
        <f>IF($P$2=1,$J$2,$J$2+L5/PLOT!$K$10)</f>
        <v>19.026255549640123</v>
      </c>
      <c r="V5">
        <f>MAIN!F3</f>
        <v>12</v>
      </c>
      <c r="W5">
        <f>$R$105</f>
        <v>-18.52669613233441</v>
      </c>
      <c r="X5">
        <f>$I$7</f>
        <v>0.10107500000000001</v>
      </c>
      <c r="Z5">
        <v>0</v>
      </c>
      <c r="AA5">
        <v>0</v>
      </c>
    </row>
    <row r="6" spans="1:27" ht="12.75">
      <c r="A6">
        <f aca="true" t="shared" si="1" ref="A6:A37">A5+$C$2</f>
        <v>0.19</v>
      </c>
      <c r="B6">
        <v>0.1520414730095885</v>
      </c>
      <c r="C6">
        <v>148251847.5907755</v>
      </c>
      <c r="D6">
        <v>-2.197518316591547E-05</v>
      </c>
      <c r="E6">
        <v>0.0036339657633246846</v>
      </c>
      <c r="F6">
        <f aca="true" t="shared" si="2" ref="F6:F55">(D6*EXP(B6*A6)+E6*EXP(-B6*A6))*1000</f>
        <v>3.5078707327990726</v>
      </c>
      <c r="G6">
        <f aca="true" t="shared" si="3" ref="G6:G69">(-C6*D6*EXP(B6*A6)+C6*E6*EXP(-B6*A6))/1000</f>
        <v>526.7550107678726</v>
      </c>
      <c r="H6">
        <v>2</v>
      </c>
      <c r="I6">
        <f>G2</f>
        <v>0.1</v>
      </c>
      <c r="J6">
        <f t="shared" si="0"/>
        <v>1</v>
      </c>
      <c r="K6">
        <f aca="true" t="shared" si="4" ref="K6:K69">$F$5*J6</f>
        <v>3.611990580158769</v>
      </c>
      <c r="L6">
        <f aca="true" t="shared" si="5" ref="L6:L69">$F$105*J6</f>
        <v>0.13127774820061125</v>
      </c>
      <c r="N6">
        <v>0</v>
      </c>
      <c r="O6">
        <f>-G2</f>
        <v>-0.1</v>
      </c>
      <c r="P6">
        <f>IF(P2=1,N6,N6+$F$5/PLOT!$K$10)</f>
        <v>0.7223981160317539</v>
      </c>
      <c r="Q6">
        <f>O6</f>
        <v>-0.1</v>
      </c>
      <c r="R6">
        <f aca="true" t="shared" si="6" ref="R6:R69">-I6</f>
        <v>-0.1</v>
      </c>
      <c r="S6">
        <f>IF($P$2=1,0,K6/PLOT!$K$10)</f>
        <v>0.7223981160317539</v>
      </c>
      <c r="T6">
        <f>IF($P$2=1,$J$2,$J$2+L6/PLOT!$K$10)</f>
        <v>19.026255549640123</v>
      </c>
      <c r="V6">
        <f>V5</f>
        <v>12</v>
      </c>
      <c r="W6">
        <f>$R$7</f>
        <v>-0.10107500000000001</v>
      </c>
      <c r="X6">
        <f>$I$105</f>
        <v>18.52669613233441</v>
      </c>
      <c r="Z6">
        <f>MAIN!C12</f>
        <v>542</v>
      </c>
      <c r="AA6">
        <f>MAIN!K2</f>
        <v>3.611990580158769</v>
      </c>
    </row>
    <row r="7" spans="1:23" ht="12.75">
      <c r="A7">
        <f t="shared" si="1"/>
        <v>0.38</v>
      </c>
      <c r="B7">
        <v>0.1520414730095885</v>
      </c>
      <c r="C7">
        <v>148251847.5907755</v>
      </c>
      <c r="D7">
        <v>-2.197518316591547E-05</v>
      </c>
      <c r="E7">
        <v>0.0036339657633246846</v>
      </c>
      <c r="F7">
        <f t="shared" si="2"/>
        <v>3.4066784408346242</v>
      </c>
      <c r="G7">
        <f t="shared" si="3"/>
        <v>511.9496342213918</v>
      </c>
      <c r="H7">
        <v>3</v>
      </c>
      <c r="I7">
        <f>I6+($G$2/100)*$I$2^(H7-2)</f>
        <v>0.10107500000000001</v>
      </c>
      <c r="J7">
        <f t="shared" si="0"/>
        <v>0.997261784218202</v>
      </c>
      <c r="K7">
        <f t="shared" si="4"/>
        <v>3.6021001705484728</v>
      </c>
      <c r="L7">
        <f t="shared" si="5"/>
        <v>0.13091828139868944</v>
      </c>
      <c r="N7">
        <f>J2</f>
        <v>19</v>
      </c>
      <c r="O7">
        <f>-G2</f>
        <v>-0.1</v>
      </c>
      <c r="P7">
        <f>IF(P2=1,N7,N7+$F$105/PLOT!$K$10)</f>
        <v>19.026255549640123</v>
      </c>
      <c r="Q7">
        <f>O7</f>
        <v>-0.1</v>
      </c>
      <c r="R7">
        <f t="shared" si="6"/>
        <v>-0.10107500000000001</v>
      </c>
      <c r="S7">
        <f>IF($P$2=1,0,K7/PLOT!$K$10)</f>
        <v>0.7204200341096946</v>
      </c>
      <c r="T7">
        <f>IF($P$2=1,$J$2,$J$2+L7/PLOT!$K$10)</f>
        <v>19.026183656279738</v>
      </c>
      <c r="W7">
        <f>$R$105</f>
        <v>-18.52669613233441</v>
      </c>
    </row>
    <row r="8" spans="1:27" ht="12.75">
      <c r="A8">
        <f t="shared" si="1"/>
        <v>0.5700000000000001</v>
      </c>
      <c r="B8">
        <v>0.1520414730095885</v>
      </c>
      <c r="C8">
        <v>148251847.5907755</v>
      </c>
      <c r="D8">
        <v>-2.197518316591547E-05</v>
      </c>
      <c r="E8">
        <v>0.0036339657633246846</v>
      </c>
      <c r="F8">
        <f t="shared" si="2"/>
        <v>3.3083292524532384</v>
      </c>
      <c r="G8">
        <f t="shared" si="3"/>
        <v>497.57151427240956</v>
      </c>
      <c r="H8">
        <v>4</v>
      </c>
      <c r="I8">
        <f aca="true" t="shared" si="7" ref="I8:I71">I7+($G$2/100)*$I$2^(H8-2)</f>
        <v>0.102230625</v>
      </c>
      <c r="J8">
        <f t="shared" si="0"/>
        <v>0.9943505610312694</v>
      </c>
      <c r="K8">
        <f t="shared" si="4"/>
        <v>3.591584859820532</v>
      </c>
      <c r="L8">
        <f t="shared" si="5"/>
        <v>0.1305361025741995</v>
      </c>
      <c r="N8">
        <f>J2</f>
        <v>19</v>
      </c>
      <c r="O8">
        <f>G2</f>
        <v>0.1</v>
      </c>
      <c r="P8">
        <f>IF(P2=1,N8,N8+$F$105/PLOT!$K$10)</f>
        <v>19.026255549640123</v>
      </c>
      <c r="Q8">
        <f>O8</f>
        <v>0.1</v>
      </c>
      <c r="R8">
        <f t="shared" si="6"/>
        <v>-0.102230625</v>
      </c>
      <c r="S8">
        <f>IF($P$2=1,0,K8/PLOT!$K$10)</f>
        <v>0.7183169719641065</v>
      </c>
      <c r="T8">
        <f>IF($P$2=1,$J$2,$J$2+L8/PLOT!$K$10)</f>
        <v>19.02610722051484</v>
      </c>
      <c r="W8">
        <f>$R$7</f>
        <v>-0.10107500000000001</v>
      </c>
      <c r="Z8">
        <v>0</v>
      </c>
      <c r="AA8">
        <v>0</v>
      </c>
    </row>
    <row r="9" spans="1:27" ht="12.75">
      <c r="A9">
        <f t="shared" si="1"/>
        <v>0.76</v>
      </c>
      <c r="B9">
        <v>0.1520414730095885</v>
      </c>
      <c r="C9">
        <v>148251847.5907755</v>
      </c>
      <c r="D9">
        <v>-2.197518316591547E-05</v>
      </c>
      <c r="E9">
        <v>0.0036339657633246846</v>
      </c>
      <c r="F9">
        <f t="shared" si="2"/>
        <v>3.212741088604973</v>
      </c>
      <c r="G9">
        <f t="shared" si="3"/>
        <v>483.60865140730726</v>
      </c>
      <c r="H9">
        <v>5</v>
      </c>
      <c r="I9">
        <f t="shared" si="7"/>
        <v>0.10347292187500001</v>
      </c>
      <c r="J9">
        <f t="shared" si="0"/>
        <v>0.991257549780018</v>
      </c>
      <c r="K9">
        <f t="shared" si="4"/>
        <v>3.5804129323166873</v>
      </c>
      <c r="L9">
        <f t="shared" si="5"/>
        <v>0.13013005902197608</v>
      </c>
      <c r="N9">
        <v>0</v>
      </c>
      <c r="O9">
        <f>O5</f>
        <v>0.1</v>
      </c>
      <c r="P9">
        <f>P5</f>
        <v>0.7223981160317539</v>
      </c>
      <c r="Q9">
        <f>Q5</f>
        <v>0.1</v>
      </c>
      <c r="R9">
        <f t="shared" si="6"/>
        <v>-0.10347292187500001</v>
      </c>
      <c r="S9">
        <f>IF($P$2=1,0,K9/PLOT!$K$10)</f>
        <v>0.7160825864633374</v>
      </c>
      <c r="T9">
        <f>IF($P$2=1,$J$2,$J$2+L9/PLOT!$K$10)</f>
        <v>19.026026011804394</v>
      </c>
      <c r="W9">
        <f>$R$105</f>
        <v>-18.52669613233441</v>
      </c>
      <c r="Z9">
        <f>Z6</f>
        <v>542</v>
      </c>
      <c r="AA9">
        <f>MAIN!K3</f>
        <v>0.13127774820061125</v>
      </c>
    </row>
    <row r="10" spans="1:23" ht="12.75">
      <c r="A10">
        <f t="shared" si="1"/>
        <v>0.95</v>
      </c>
      <c r="B10">
        <v>0.1520414730095885</v>
      </c>
      <c r="C10">
        <v>148251847.5907755</v>
      </c>
      <c r="D10">
        <v>-2.197518316591547E-05</v>
      </c>
      <c r="E10">
        <v>0.0036339657633246846</v>
      </c>
      <c r="F10">
        <f t="shared" si="2"/>
        <v>3.119834174501614</v>
      </c>
      <c r="G10">
        <f t="shared" si="3"/>
        <v>470.0493926725904</v>
      </c>
      <c r="H10">
        <v>6</v>
      </c>
      <c r="I10">
        <f t="shared" si="7"/>
        <v>0.10480839101562502</v>
      </c>
      <c r="J10">
        <f t="shared" si="0"/>
        <v>0.9879737964893742</v>
      </c>
      <c r="K10">
        <f t="shared" si="4"/>
        <v>3.5685520463633162</v>
      </c>
      <c r="L10">
        <f t="shared" si="5"/>
        <v>0.12969897528433402</v>
      </c>
      <c r="R10">
        <f t="shared" si="6"/>
        <v>-0.10480839101562502</v>
      </c>
      <c r="S10">
        <f>IF($P$2=1,0,K10/PLOT!$K$10)</f>
        <v>0.7137104092726633</v>
      </c>
      <c r="T10">
        <f>IF($P$2=1,$J$2,$J$2+L10/PLOT!$K$10)</f>
        <v>19.025939795056868</v>
      </c>
      <c r="W10">
        <f>$R$7</f>
        <v>-0.10107500000000001</v>
      </c>
    </row>
    <row r="11" spans="1:23" ht="12.75">
      <c r="A11">
        <f t="shared" si="1"/>
        <v>1.14</v>
      </c>
      <c r="B11">
        <v>0.1520414730095885</v>
      </c>
      <c r="C11">
        <v>148251847.5907755</v>
      </c>
      <c r="D11">
        <v>-2.197518316591547E-05</v>
      </c>
      <c r="E11">
        <v>0.0036339657633246846</v>
      </c>
      <c r="F11">
        <f t="shared" si="2"/>
        <v>3.029530973039215</v>
      </c>
      <c r="G11">
        <f t="shared" si="3"/>
        <v>456.8824219497107</v>
      </c>
      <c r="H11">
        <v>7</v>
      </c>
      <c r="I11">
        <f t="shared" si="7"/>
        <v>0.10624402034179689</v>
      </c>
      <c r="J11">
        <f t="shared" si="0"/>
        <v>0.9844902056217478</v>
      </c>
      <c r="K11">
        <f t="shared" si="4"/>
        <v>3.555969348964323</v>
      </c>
      <c r="L11">
        <f t="shared" si="5"/>
        <v>0.12924165731957982</v>
      </c>
      <c r="R11">
        <f t="shared" si="6"/>
        <v>-0.10624402034179689</v>
      </c>
      <c r="S11">
        <f>IF($P$2=1,0,K11/PLOT!$K$10)</f>
        <v>0.7111938697928646</v>
      </c>
      <c r="T11">
        <f>IF($P$2=1,$J$2,$J$2+L11/PLOT!$K$10)</f>
        <v>19.025848331463916</v>
      </c>
      <c r="W11">
        <f>$R$105</f>
        <v>-18.52669613233441</v>
      </c>
    </row>
    <row r="12" spans="1:23" ht="12.75">
      <c r="A12">
        <f t="shared" si="1"/>
        <v>1.3299999999999998</v>
      </c>
      <c r="B12">
        <v>0.1520414730095885</v>
      </c>
      <c r="C12">
        <v>148251847.5907755</v>
      </c>
      <c r="D12">
        <v>-2.197518316591547E-05</v>
      </c>
      <c r="E12">
        <v>0.0036339657633246846</v>
      </c>
      <c r="F12">
        <f t="shared" si="2"/>
        <v>2.9417561200881397</v>
      </c>
      <c r="G12">
        <f t="shared" si="3"/>
        <v>444.09675051099975</v>
      </c>
      <c r="H12">
        <v>8</v>
      </c>
      <c r="I12">
        <f t="shared" si="7"/>
        <v>0.10778732186743166</v>
      </c>
      <c r="J12">
        <f t="shared" si="0"/>
        <v>0.9807975762292992</v>
      </c>
      <c r="K12">
        <f t="shared" si="4"/>
        <v>3.542631606382781</v>
      </c>
      <c r="L12">
        <f t="shared" si="5"/>
        <v>0.12875689724799977</v>
      </c>
      <c r="R12">
        <f t="shared" si="6"/>
        <v>-0.10778732186743166</v>
      </c>
      <c r="S12">
        <f>IF($P$2=1,0,K12/PLOT!$K$10)</f>
        <v>0.7085263212765562</v>
      </c>
      <c r="T12">
        <f>IF($P$2=1,$J$2,$J$2+L12/PLOT!$K$10)</f>
        <v>19.0257513794496</v>
      </c>
      <c r="W12">
        <f>$R$7</f>
        <v>-0.10107500000000001</v>
      </c>
    </row>
    <row r="13" spans="1:23" ht="12.75">
      <c r="A13">
        <f t="shared" si="1"/>
        <v>1.5199999999999998</v>
      </c>
      <c r="B13">
        <v>0.1520414730095885</v>
      </c>
      <c r="C13">
        <v>148251847.5907755</v>
      </c>
      <c r="D13">
        <v>-2.197518316591547E-05</v>
      </c>
      <c r="E13">
        <v>0.0036339657633246846</v>
      </c>
      <c r="F13">
        <f t="shared" si="2"/>
        <v>2.8564363615966015</v>
      </c>
      <c r="G13">
        <f t="shared" si="3"/>
        <v>431.68170784883245</v>
      </c>
      <c r="H13">
        <v>9</v>
      </c>
      <c r="I13">
        <f t="shared" si="7"/>
        <v>0.10944637100748904</v>
      </c>
      <c r="J13">
        <f t="shared" si="0"/>
        <v>0.9768866425293296</v>
      </c>
      <c r="K13">
        <f t="shared" si="4"/>
        <v>3.528505350698865</v>
      </c>
      <c r="L13">
        <f t="shared" si="5"/>
        <v>0.12824347867850586</v>
      </c>
      <c r="R13">
        <f t="shared" si="6"/>
        <v>-0.10944637100748904</v>
      </c>
      <c r="S13">
        <f>IF($P$2=1,0,K13/PLOT!$K$10)</f>
        <v>0.705701070139773</v>
      </c>
      <c r="T13">
        <f>IF($P$2=1,$J$2,$J$2+L13/PLOT!$K$10)</f>
        <v>19.0256486957357</v>
      </c>
      <c r="W13">
        <f>$R$105</f>
        <v>-18.52669613233441</v>
      </c>
    </row>
    <row r="14" spans="1:23" ht="12.75">
      <c r="A14">
        <f t="shared" si="1"/>
        <v>1.7099999999999997</v>
      </c>
      <c r="B14">
        <v>0.1520414730095885</v>
      </c>
      <c r="C14">
        <v>148251847.5907755</v>
      </c>
      <c r="D14">
        <v>-2.197518316591547E-05</v>
      </c>
      <c r="E14">
        <v>0.0036339657633246846</v>
      </c>
      <c r="F14">
        <f t="shared" si="2"/>
        <v>2.7735004924552</v>
      </c>
      <c r="G14">
        <f t="shared" si="3"/>
        <v>419.62693277036664</v>
      </c>
      <c r="H14">
        <v>10</v>
      </c>
      <c r="I14">
        <f t="shared" si="7"/>
        <v>0.11122984883305072</v>
      </c>
      <c r="J14">
        <f t="shared" si="0"/>
        <v>0.9727481188458339</v>
      </c>
      <c r="K14">
        <f t="shared" si="4"/>
        <v>3.5135570421383147</v>
      </c>
      <c r="L14">
        <f t="shared" si="5"/>
        <v>0.12770018260846164</v>
      </c>
      <c r="R14">
        <f t="shared" si="6"/>
        <v>-0.11122984883305072</v>
      </c>
      <c r="S14">
        <f>IF($P$2=1,0,K14/PLOT!$K$10)</f>
        <v>0.7027114084276629</v>
      </c>
      <c r="T14">
        <f>IF($P$2=1,$J$2,$J$2+L14/PLOT!$K$10)</f>
        <v>19.025540036521694</v>
      </c>
      <c r="W14">
        <f>$R$7</f>
        <v>-0.10107500000000001</v>
      </c>
    </row>
    <row r="15" spans="1:23" ht="12.75">
      <c r="A15">
        <f t="shared" si="1"/>
        <v>1.8999999999999997</v>
      </c>
      <c r="B15">
        <v>0.1520414730095885</v>
      </c>
      <c r="C15">
        <v>148251847.5907755</v>
      </c>
      <c r="D15">
        <v>-2.197518316591547E-05</v>
      </c>
      <c r="E15">
        <v>0.0036339657633246846</v>
      </c>
      <c r="F15">
        <f t="shared" si="2"/>
        <v>2.692879297071441</v>
      </c>
      <c r="G15">
        <f t="shared" si="3"/>
        <v>407.92236475042694</v>
      </c>
      <c r="H15">
        <v>11</v>
      </c>
      <c r="I15">
        <f t="shared" si="7"/>
        <v>0.11314708749552951</v>
      </c>
      <c r="J15">
        <f t="shared" si="0"/>
        <v>0.9683727487685182</v>
      </c>
      <c r="K15">
        <f t="shared" si="4"/>
        <v>3.497753246634342</v>
      </c>
      <c r="L15">
        <f t="shared" si="5"/>
        <v>0.1271257938771673</v>
      </c>
      <c r="R15">
        <f t="shared" si="6"/>
        <v>-0.11314708749552951</v>
      </c>
      <c r="S15">
        <f>IF($P$2=1,0,K15/PLOT!$K$10)</f>
        <v>0.6995506493268684</v>
      </c>
      <c r="T15">
        <f>IF($P$2=1,$J$2,$J$2+L15/PLOT!$K$10)</f>
        <v>19.025425158775434</v>
      </c>
      <c r="W15">
        <f>$R$105</f>
        <v>-18.52669613233441</v>
      </c>
    </row>
    <row r="16" spans="1:23" ht="12.75">
      <c r="A16">
        <f t="shared" si="1"/>
        <v>2.09</v>
      </c>
      <c r="B16">
        <v>0.1520414730095885</v>
      </c>
      <c r="C16">
        <v>148251847.5907755</v>
      </c>
      <c r="D16">
        <v>-2.197518316591547E-05</v>
      </c>
      <c r="E16">
        <v>0.0036339657633246846</v>
      </c>
      <c r="F16">
        <f t="shared" si="2"/>
        <v>2.6145054916046413</v>
      </c>
      <c r="G16">
        <f t="shared" si="3"/>
        <v>396.55823553531576</v>
      </c>
      <c r="H16">
        <v>12</v>
      </c>
      <c r="I16">
        <f t="shared" si="7"/>
        <v>0.11520811905769422</v>
      </c>
      <c r="J16">
        <f t="shared" si="0"/>
        <v>0.9637513582795262</v>
      </c>
      <c r="K16">
        <f t="shared" si="4"/>
        <v>3.4810608277208677</v>
      </c>
      <c r="L16">
        <f t="shared" si="5"/>
        <v>0.12651910814021672</v>
      </c>
      <c r="R16">
        <f t="shared" si="6"/>
        <v>-0.11520811905769422</v>
      </c>
      <c r="S16">
        <f>IF($P$2=1,0,K16/PLOT!$K$10)</f>
        <v>0.6962121655441735</v>
      </c>
      <c r="T16">
        <f>IF($P$2=1,$J$2,$J$2+L16/PLOT!$K$10)</f>
        <v>19.025303821628043</v>
      </c>
      <c r="W16">
        <f>$R$7</f>
        <v>-0.10107500000000001</v>
      </c>
    </row>
    <row r="17" spans="1:23" ht="12.75">
      <c r="A17">
        <f t="shared" si="1"/>
        <v>2.28</v>
      </c>
      <c r="B17">
        <v>0.1520414730095885</v>
      </c>
      <c r="C17">
        <v>148251847.5907755</v>
      </c>
      <c r="D17">
        <v>-2.197518316591547E-05</v>
      </c>
      <c r="E17">
        <v>0.0036339657633246846</v>
      </c>
      <c r="F17">
        <f t="shared" si="2"/>
        <v>2.538313667813017</v>
      </c>
      <c r="G17">
        <f t="shared" si="3"/>
        <v>385.5250609905454</v>
      </c>
      <c r="H17">
        <v>13</v>
      </c>
      <c r="I17">
        <f t="shared" si="7"/>
        <v>0.11742372798702129</v>
      </c>
      <c r="J17">
        <f t="shared" si="0"/>
        <v>0.9588749124898702</v>
      </c>
      <c r="K17">
        <f t="shared" si="4"/>
        <v>3.463447151463975</v>
      </c>
      <c r="L17">
        <f t="shared" si="5"/>
        <v>0.12587893931772834</v>
      </c>
      <c r="R17">
        <f t="shared" si="6"/>
        <v>-0.11742372798702129</v>
      </c>
      <c r="S17">
        <f>IF($P$2=1,0,K17/PLOT!$K$10)</f>
        <v>0.6926894302927951</v>
      </c>
      <c r="T17">
        <f>IF($P$2=1,$J$2,$J$2+L17/PLOT!$K$10)</f>
        <v>19.025175787863546</v>
      </c>
      <c r="W17">
        <f>$R$105</f>
        <v>-18.52669613233441</v>
      </c>
    </row>
    <row r="18" spans="1:23" ht="12.75">
      <c r="A18">
        <f t="shared" si="1"/>
        <v>2.4699999999999998</v>
      </c>
      <c r="B18">
        <v>0.1520414730095885</v>
      </c>
      <c r="C18">
        <v>148251847.5907755</v>
      </c>
      <c r="D18">
        <v>-2.197518316591547E-05</v>
      </c>
      <c r="E18">
        <v>0.0036339657633246846</v>
      </c>
      <c r="F18">
        <f t="shared" si="2"/>
        <v>2.464240238466079</v>
      </c>
      <c r="G18">
        <f t="shared" si="3"/>
        <v>374.81363318568566</v>
      </c>
      <c r="H18">
        <v>14</v>
      </c>
      <c r="I18">
        <f t="shared" si="7"/>
        <v>0.11980550758604788</v>
      </c>
      <c r="J18">
        <f t="shared" si="0"/>
        <v>0.9537345755147072</v>
      </c>
      <c r="K18">
        <f t="shared" si="4"/>
        <v>3.444880302730845</v>
      </c>
      <c r="L18">
        <f t="shared" si="5"/>
        <v>0.12520412745463658</v>
      </c>
      <c r="R18">
        <f t="shared" si="6"/>
        <v>-0.11980550758604788</v>
      </c>
      <c r="S18">
        <f>IF($P$2=1,0,K18/PLOT!$K$10)</f>
        <v>0.688976060546169</v>
      </c>
      <c r="T18">
        <f>IF($P$2=1,$J$2,$J$2+L18/PLOT!$K$10)</f>
        <v>19.025040825490926</v>
      </c>
      <c r="W18">
        <f>$R$7</f>
        <v>-0.10107500000000001</v>
      </c>
    </row>
    <row r="19" spans="1:23" ht="12.75">
      <c r="A19">
        <f t="shared" si="1"/>
        <v>2.6599999999999997</v>
      </c>
      <c r="B19">
        <v>0.1520414730095885</v>
      </c>
      <c r="C19">
        <v>148251847.5907755</v>
      </c>
      <c r="D19">
        <v>-2.197518316591547E-05</v>
      </c>
      <c r="E19">
        <v>0.0036339657633246846</v>
      </c>
      <c r="F19">
        <f t="shared" si="2"/>
        <v>2.3922233842767873</v>
      </c>
      <c r="G19">
        <f t="shared" si="3"/>
        <v>364.41501270972356</v>
      </c>
      <c r="H19">
        <v>15</v>
      </c>
      <c r="I19">
        <f t="shared" si="7"/>
        <v>0.12236592065500147</v>
      </c>
      <c r="J19">
        <f t="shared" si="0"/>
        <v>0.9483217729025544</v>
      </c>
      <c r="K19">
        <f t="shared" si="4"/>
        <v>3.4253293106834897</v>
      </c>
      <c r="L19">
        <f t="shared" si="5"/>
        <v>0.12449354691625877</v>
      </c>
      <c r="R19">
        <f t="shared" si="6"/>
        <v>-0.12236592065500147</v>
      </c>
      <c r="S19">
        <f>IF($P$2=1,0,K19/PLOT!$K$10)</f>
        <v>0.685065862136698</v>
      </c>
      <c r="T19">
        <f>IF($P$2=1,$J$2,$J$2+L19/PLOT!$K$10)</f>
        <v>19.02489870938325</v>
      </c>
      <c r="W19">
        <f>$R$105</f>
        <v>-18.52669613233441</v>
      </c>
    </row>
    <row r="20" spans="1:23" ht="12.75">
      <c r="A20">
        <f t="shared" si="1"/>
        <v>2.8499999999999996</v>
      </c>
      <c r="B20">
        <v>0.1520414730095885</v>
      </c>
      <c r="C20">
        <v>148251847.5907755</v>
      </c>
      <c r="D20">
        <v>-2.197518316591547E-05</v>
      </c>
      <c r="E20">
        <v>0.0036339657633246846</v>
      </c>
      <c r="F20">
        <f t="shared" si="2"/>
        <v>2.322203002309176</v>
      </c>
      <c r="G20">
        <f t="shared" si="3"/>
        <v>354.32052121052016</v>
      </c>
      <c r="H20">
        <v>16</v>
      </c>
      <c r="I20">
        <f t="shared" si="7"/>
        <v>0.12511836470412657</v>
      </c>
      <c r="J20">
        <f t="shared" si="0"/>
        <v>0.9426282559221963</v>
      </c>
      <c r="K20">
        <f t="shared" si="4"/>
        <v>3.4047643809824626</v>
      </c>
      <c r="L20">
        <f t="shared" si="5"/>
        <v>0.12374611482773543</v>
      </c>
      <c r="R20">
        <f t="shared" si="6"/>
        <v>-0.12511836470412657</v>
      </c>
      <c r="S20">
        <f>IF($P$2=1,0,K20/PLOT!$K$10)</f>
        <v>0.6809528761964925</v>
      </c>
      <c r="T20">
        <f>IF($P$2=1,$J$2,$J$2+L20/PLOT!$K$10)</f>
        <v>19.024749222965546</v>
      </c>
      <c r="W20">
        <f>$R$7</f>
        <v>-0.10107500000000001</v>
      </c>
    </row>
    <row r="21" spans="1:23" ht="12.75">
      <c r="A21">
        <f t="shared" si="1"/>
        <v>3.0399999999999996</v>
      </c>
      <c r="B21">
        <v>0.1520414730095885</v>
      </c>
      <c r="C21">
        <v>148251847.5907755</v>
      </c>
      <c r="D21">
        <v>-2.197518316591547E-05</v>
      </c>
      <c r="E21">
        <v>0.0036339657633246846</v>
      </c>
      <c r="F21">
        <f t="shared" si="2"/>
        <v>2.2541206558183857</v>
      </c>
      <c r="G21">
        <f t="shared" si="3"/>
        <v>344.5217341521383</v>
      </c>
      <c r="H21">
        <v>17</v>
      </c>
      <c r="I21">
        <f t="shared" si="7"/>
        <v>0.12807724205693607</v>
      </c>
      <c r="J21">
        <f t="shared" si="0"/>
        <v>0.9366461669068311</v>
      </c>
      <c r="K21">
        <f t="shared" si="4"/>
        <v>3.383157131809292</v>
      </c>
      <c r="L21">
        <f t="shared" si="5"/>
        <v>0.12296079965226267</v>
      </c>
      <c r="R21">
        <f t="shared" si="6"/>
        <v>-0.12807724205693607</v>
      </c>
      <c r="S21">
        <f>IF($P$2=1,0,K21/PLOT!$K$10)</f>
        <v>0.6766314263618585</v>
      </c>
      <c r="T21">
        <f>IF($P$2=1,$J$2,$J$2+L21/PLOT!$K$10)</f>
        <v>19.024592159930453</v>
      </c>
      <c r="W21">
        <f>$R$105</f>
        <v>-18.52669613233441</v>
      </c>
    </row>
    <row r="22" spans="1:23" ht="12.75">
      <c r="A22">
        <f t="shared" si="1"/>
        <v>3.2299999999999995</v>
      </c>
      <c r="B22">
        <v>0.1520414730095885</v>
      </c>
      <c r="C22">
        <v>148251847.5907755</v>
      </c>
      <c r="D22">
        <v>-2.197518316591547E-05</v>
      </c>
      <c r="E22">
        <v>0.0036339657633246846</v>
      </c>
      <c r="F22">
        <f t="shared" si="2"/>
        <v>2.187919525481253</v>
      </c>
      <c r="G22">
        <f t="shared" si="3"/>
        <v>335.0104737839982</v>
      </c>
      <c r="H22">
        <v>18</v>
      </c>
      <c r="I22">
        <f t="shared" si="7"/>
        <v>0.13125803521120627</v>
      </c>
      <c r="J22">
        <f t="shared" si="0"/>
        <v>0.9303681047627057</v>
      </c>
      <c r="K22">
        <f t="shared" si="4"/>
        <v>3.36048083048306</v>
      </c>
      <c r="L22">
        <f t="shared" si="5"/>
        <v>0.12213662979091838</v>
      </c>
      <c r="R22">
        <f t="shared" si="6"/>
        <v>-0.13125803521120627</v>
      </c>
      <c r="S22">
        <f>IF($P$2=1,0,K22/PLOT!$K$10)</f>
        <v>0.672096166096612</v>
      </c>
      <c r="T22">
        <f>IF($P$2=1,$J$2,$J$2+L22/PLOT!$K$10)</f>
        <v>19.024427325958182</v>
      </c>
      <c r="W22">
        <f>$R$7</f>
        <v>-0.10107500000000001</v>
      </c>
    </row>
    <row r="23" spans="1:23" ht="12.75">
      <c r="A23">
        <f t="shared" si="1"/>
        <v>3.4199999999999995</v>
      </c>
      <c r="B23">
        <v>0.1520414730095885</v>
      </c>
      <c r="C23">
        <v>148251847.5907755</v>
      </c>
      <c r="D23">
        <v>-2.197518316591547E-05</v>
      </c>
      <c r="E23">
        <v>0.0036339657633246846</v>
      </c>
      <c r="F23">
        <f t="shared" si="2"/>
        <v>2.1235443619767347</v>
      </c>
      <c r="G23">
        <f t="shared" si="3"/>
        <v>325.7788023159907</v>
      </c>
      <c r="H23">
        <v>19</v>
      </c>
      <c r="I23">
        <f t="shared" si="7"/>
        <v>0.13467738785204675</v>
      </c>
      <c r="J23">
        <f t="shared" si="0"/>
        <v>0.9237871896738764</v>
      </c>
      <c r="K23">
        <f t="shared" si="4"/>
        <v>3.3367106271733835</v>
      </c>
      <c r="L23">
        <f t="shared" si="5"/>
        <v>0.12127270207695745</v>
      </c>
      <c r="R23">
        <f t="shared" si="6"/>
        <v>-0.13467738785204675</v>
      </c>
      <c r="S23">
        <f>IF($P$2=1,0,K23/PLOT!$K$10)</f>
        <v>0.6673421254346767</v>
      </c>
      <c r="T23">
        <f>IF($P$2=1,$J$2,$J$2+L23/PLOT!$K$10)</f>
        <v>19.02425454041539</v>
      </c>
      <c r="W23">
        <f>$R$105</f>
        <v>-18.52669613233441</v>
      </c>
    </row>
    <row r="24" spans="1:23" ht="12.75">
      <c r="A24">
        <f t="shared" si="1"/>
        <v>3.6099999999999994</v>
      </c>
      <c r="B24">
        <v>0.1520414730095885</v>
      </c>
      <c r="C24">
        <v>148251847.5907755</v>
      </c>
      <c r="D24">
        <v>-2.197518316591547E-05</v>
      </c>
      <c r="E24">
        <v>0.0036339657633246846</v>
      </c>
      <c r="F24">
        <f t="shared" si="2"/>
        <v>2.060941439876617</v>
      </c>
      <c r="G24">
        <f t="shared" si="3"/>
        <v>316.81901529385516</v>
      </c>
      <c r="H24">
        <v>20</v>
      </c>
      <c r="I24">
        <f t="shared" si="7"/>
        <v>0.13835319194095025</v>
      </c>
      <c r="J24">
        <f t="shared" si="0"/>
        <v>0.9168971259805523</v>
      </c>
      <c r="K24">
        <f t="shared" si="4"/>
        <v>3.311823782016403</v>
      </c>
      <c r="L24">
        <f t="shared" si="5"/>
        <v>0.12036819003033908</v>
      </c>
      <c r="R24">
        <f t="shared" si="6"/>
        <v>-0.13835319194095025</v>
      </c>
      <c r="S24">
        <f>IF($P$2=1,0,K24/PLOT!$K$10)</f>
        <v>0.6623647564032806</v>
      </c>
      <c r="T24">
        <f>IF($P$2=1,$J$2,$J$2+L24/PLOT!$K$10)</f>
        <v>19.02407363800607</v>
      </c>
      <c r="W24">
        <f>$R$7</f>
        <v>-0.10107500000000001</v>
      </c>
    </row>
    <row r="25" spans="1:23" ht="12.75">
      <c r="A25">
        <f t="shared" si="1"/>
        <v>3.7999999999999994</v>
      </c>
      <c r="B25">
        <v>0.1520414730095885</v>
      </c>
      <c r="C25">
        <v>148251847.5907755</v>
      </c>
      <c r="D25">
        <v>-2.197518316591547E-05</v>
      </c>
      <c r="E25">
        <v>0.0036339657633246846</v>
      </c>
      <c r="F25">
        <f t="shared" si="2"/>
        <v>2.0000585128080126</v>
      </c>
      <c r="G25">
        <f t="shared" si="3"/>
        <v>308.123635169291</v>
      </c>
      <c r="H25">
        <v>21</v>
      </c>
      <c r="I25">
        <f t="shared" si="7"/>
        <v>0.14230468133652152</v>
      </c>
      <c r="J25">
        <f t="shared" si="0"/>
        <v>0.9096922621799165</v>
      </c>
      <c r="K25">
        <f t="shared" si="4"/>
        <v>3.2857998818371796</v>
      </c>
      <c r="L25">
        <f t="shared" si="5"/>
        <v>0.11942235173449951</v>
      </c>
      <c r="R25">
        <f t="shared" si="6"/>
        <v>-0.14230468133652152</v>
      </c>
      <c r="S25">
        <f>IF($P$2=1,0,K25/PLOT!$K$10)</f>
        <v>0.657159976367436</v>
      </c>
      <c r="T25">
        <f>IF($P$2=1,$J$2,$J$2+L25/PLOT!$K$10)</f>
        <v>19.0238844703469</v>
      </c>
      <c r="W25">
        <f>$R$105</f>
        <v>-18.52669613233441</v>
      </c>
    </row>
    <row r="26" spans="1:23" ht="12.75">
      <c r="A26">
        <f t="shared" si="1"/>
        <v>3.9899999999999993</v>
      </c>
      <c r="B26">
        <v>0.1520414730095885</v>
      </c>
      <c r="C26">
        <v>148251847.5907755</v>
      </c>
      <c r="D26">
        <v>-2.197518316591547E-05</v>
      </c>
      <c r="E26">
        <v>0.0036339657633246846</v>
      </c>
      <c r="F26">
        <f t="shared" si="2"/>
        <v>1.9408447698502227</v>
      </c>
      <c r="G26">
        <f t="shared" si="3"/>
        <v>299.68540505943776</v>
      </c>
      <c r="H26">
        <v>22</v>
      </c>
      <c r="I26">
        <f t="shared" si="7"/>
        <v>0.14655253243676064</v>
      </c>
      <c r="J26">
        <f t="shared" si="0"/>
        <v>0.9021676469988855</v>
      </c>
      <c r="K26">
        <f t="shared" si="4"/>
        <v>3.258621042683976</v>
      </c>
      <c r="L26">
        <f t="shared" si="5"/>
        <v>0.11843453719745763</v>
      </c>
      <c r="R26">
        <f t="shared" si="6"/>
        <v>-0.14655253243676064</v>
      </c>
      <c r="S26">
        <f>IF($P$2=1,0,K26/PLOT!$K$10)</f>
        <v>0.6517242085367952</v>
      </c>
      <c r="T26">
        <f>IF($P$2=1,$J$2,$J$2+L26/PLOT!$K$10)</f>
        <v>19.02368690743949</v>
      </c>
      <c r="W26">
        <f>$R$7</f>
        <v>-0.10107500000000001</v>
      </c>
    </row>
    <row r="27" spans="1:23" ht="12.75">
      <c r="A27">
        <f t="shared" si="1"/>
        <v>4.18</v>
      </c>
      <c r="B27">
        <v>0.1520414730095885</v>
      </c>
      <c r="C27">
        <v>148251847.5907755</v>
      </c>
      <c r="D27">
        <v>-2.197518316591547E-05</v>
      </c>
      <c r="E27">
        <v>0.0036339657633246846</v>
      </c>
      <c r="F27">
        <f t="shared" si="2"/>
        <v>1.8832507931295936</v>
      </c>
      <c r="G27">
        <f t="shared" si="3"/>
        <v>291.49728269051553</v>
      </c>
      <c r="H27">
        <v>23</v>
      </c>
      <c r="I27">
        <f t="shared" si="7"/>
        <v>0.15111897236951768</v>
      </c>
      <c r="J27">
        <f t="shared" si="0"/>
        <v>0.8943190805204216</v>
      </c>
      <c r="K27">
        <f t="shared" si="4"/>
        <v>3.230272094496015</v>
      </c>
      <c r="L27">
        <f t="shared" si="5"/>
        <v>0.11740419506356209</v>
      </c>
      <c r="R27">
        <f t="shared" si="6"/>
        <v>-0.15111897236951768</v>
      </c>
      <c r="S27">
        <f>IF($P$2=1,0,K27/PLOT!$K$10)</f>
        <v>0.646054418899203</v>
      </c>
      <c r="T27">
        <f>IF($P$2=1,$J$2,$J$2+L27/PLOT!$K$10)</f>
        <v>19.023480839012713</v>
      </c>
      <c r="W27">
        <f>$R$105</f>
        <v>-18.52669613233441</v>
      </c>
    </row>
    <row r="28" spans="1:23" ht="12.75">
      <c r="A28">
        <f t="shared" si="1"/>
        <v>4.37</v>
      </c>
      <c r="B28">
        <v>0.1520414730095885</v>
      </c>
      <c r="C28">
        <v>148251847.5907755</v>
      </c>
      <c r="D28">
        <v>-2.197518316591547E-05</v>
      </c>
      <c r="E28">
        <v>0.0036339657633246846</v>
      </c>
      <c r="F28">
        <f t="shared" si="2"/>
        <v>1.827228516576956</v>
      </c>
      <c r="G28">
        <f t="shared" si="3"/>
        <v>283.5524345205715</v>
      </c>
      <c r="H28">
        <v>24</v>
      </c>
      <c r="I28">
        <f t="shared" si="7"/>
        <v>0.15602789529723152</v>
      </c>
      <c r="J28">
        <f t="shared" si="0"/>
        <v>0.8861431594099456</v>
      </c>
      <c r="K28">
        <f t="shared" si="4"/>
        <v>3.200740744460854</v>
      </c>
      <c r="L28">
        <f t="shared" si="5"/>
        <v>0.11633087855071295</v>
      </c>
      <c r="R28">
        <f t="shared" si="6"/>
        <v>-0.15602789529723152</v>
      </c>
      <c r="S28">
        <f>IF($P$2=1,0,K28/PLOT!$K$10)</f>
        <v>0.6401481488921708</v>
      </c>
      <c r="T28">
        <f>IF($P$2=1,$J$2,$J$2+L28/PLOT!$K$10)</f>
        <v>19.02326617571014</v>
      </c>
      <c r="W28">
        <f>$R$7</f>
        <v>-0.10107500000000001</v>
      </c>
    </row>
    <row r="29" spans="1:23" ht="12.75">
      <c r="A29">
        <f t="shared" si="1"/>
        <v>4.5600000000000005</v>
      </c>
      <c r="B29">
        <v>0.1520414730095885</v>
      </c>
      <c r="C29">
        <v>148251847.5907755</v>
      </c>
      <c r="D29">
        <v>-2.197518316591547E-05</v>
      </c>
      <c r="E29">
        <v>0.0036339657633246846</v>
      </c>
      <c r="F29">
        <f t="shared" si="2"/>
        <v>1.772731185813238</v>
      </c>
      <c r="G29">
        <f t="shared" si="3"/>
        <v>275.84423003642667</v>
      </c>
      <c r="H29">
        <v>25</v>
      </c>
      <c r="I29">
        <f t="shared" si="7"/>
        <v>0.16130498744452387</v>
      </c>
      <c r="J29">
        <f t="shared" si="0"/>
        <v>0.8776373153858084</v>
      </c>
      <c r="K29">
        <f t="shared" si="4"/>
        <v>3.1700177159693705</v>
      </c>
      <c r="L29">
        <f t="shared" si="5"/>
        <v>0.11521425050067859</v>
      </c>
      <c r="R29">
        <f t="shared" si="6"/>
        <v>-0.16130498744452387</v>
      </c>
      <c r="S29">
        <f>IF($P$2=1,0,K29/PLOT!$K$10)</f>
        <v>0.6340035431938741</v>
      </c>
      <c r="T29">
        <f>IF($P$2=1,$J$2,$J$2+L29/PLOT!$K$10)</f>
        <v>19.023042850100136</v>
      </c>
      <c r="W29">
        <f>$R$105</f>
        <v>-18.52669613233441</v>
      </c>
    </row>
    <row r="30" spans="1:23" ht="12.75">
      <c r="A30">
        <f t="shared" si="1"/>
        <v>4.750000000000001</v>
      </c>
      <c r="B30">
        <v>0.1520414730095885</v>
      </c>
      <c r="C30">
        <v>148251847.5907755</v>
      </c>
      <c r="D30">
        <v>-2.197518316591547E-05</v>
      </c>
      <c r="E30">
        <v>0.0036339657633246846</v>
      </c>
      <c r="F30">
        <f t="shared" si="2"/>
        <v>1.719713319129774</v>
      </c>
      <c r="G30">
        <f t="shared" si="3"/>
        <v>268.36623622006397</v>
      </c>
      <c r="H30">
        <v>26</v>
      </c>
      <c r="I30">
        <f t="shared" si="7"/>
        <v>0.16697786150286315</v>
      </c>
      <c r="J30">
        <f t="shared" si="0"/>
        <v>0.8687998462059187</v>
      </c>
      <c r="K30">
        <f t="shared" si="4"/>
        <v>3.1380968605391653</v>
      </c>
      <c r="L30">
        <f t="shared" si="5"/>
        <v>0.11405408744695036</v>
      </c>
      <c r="R30">
        <f t="shared" si="6"/>
        <v>-0.16697786150286315</v>
      </c>
      <c r="S30">
        <f>IF($P$2=1,0,K30/PLOT!$K$10)</f>
        <v>0.627619372107833</v>
      </c>
      <c r="T30">
        <f>IF($P$2=1,$J$2,$J$2+L30/PLOT!$K$10)</f>
        <v>19.02281081748939</v>
      </c>
      <c r="W30">
        <f>$R$7</f>
        <v>-0.10107500000000001</v>
      </c>
    </row>
    <row r="31" spans="1:20" ht="12.75">
      <c r="A31">
        <f t="shared" si="1"/>
        <v>4.940000000000001</v>
      </c>
      <c r="B31">
        <v>0.1520414730095885</v>
      </c>
      <c r="C31">
        <v>148251847.5907755</v>
      </c>
      <c r="D31">
        <v>-2.197518316591547E-05</v>
      </c>
      <c r="E31">
        <v>0.0036339657633246846</v>
      </c>
      <c r="F31">
        <f t="shared" si="2"/>
        <v>1.6681306695307436</v>
      </c>
      <c r="G31">
        <f t="shared" si="3"/>
        <v>261.1122121798399</v>
      </c>
      <c r="H31">
        <v>27</v>
      </c>
      <c r="I31">
        <f>I30+($G$2/100)*$I$2^(H31-2)</f>
        <v>0.17307620111557787</v>
      </c>
      <c r="J31">
        <f t="shared" si="0"/>
        <v>0.8596299385980316</v>
      </c>
      <c r="K31">
        <f t="shared" si="4"/>
        <v>3.1049752406385513</v>
      </c>
      <c r="L31">
        <f t="shared" si="5"/>
        <v>0.1128502826249793</v>
      </c>
      <c r="R31">
        <f t="shared" si="6"/>
        <v>-0.17307620111557787</v>
      </c>
      <c r="S31">
        <f>IF($P$2=1,0,K31/PLOT!$K$10)</f>
        <v>0.6209950481277102</v>
      </c>
      <c r="T31">
        <f>IF($P$2=1,$J$2,$J$2+L31/PLOT!$K$10)</f>
        <v>19.022570056524994</v>
      </c>
    </row>
    <row r="32" spans="1:20" ht="12.75">
      <c r="A32">
        <f t="shared" si="1"/>
        <v>5.130000000000002</v>
      </c>
      <c r="B32">
        <v>0.1520414730095885</v>
      </c>
      <c r="C32">
        <v>148251847.5907755</v>
      </c>
      <c r="D32">
        <v>-2.197518316591547E-05</v>
      </c>
      <c r="E32">
        <v>0.0036339657633246846</v>
      </c>
      <c r="F32">
        <f t="shared" si="2"/>
        <v>1.6179401878060602</v>
      </c>
      <c r="G32">
        <f t="shared" si="3"/>
        <v>254.07610394203837</v>
      </c>
      <c r="H32">
        <v>28</v>
      </c>
      <c r="I32">
        <f t="shared" si="7"/>
        <v>0.1796319161992462</v>
      </c>
      <c r="J32">
        <f t="shared" si="0"/>
        <v>0.8501276827391381</v>
      </c>
      <c r="K32">
        <f t="shared" si="4"/>
        <v>3.0706531819859695</v>
      </c>
      <c r="L32">
        <f t="shared" si="5"/>
        <v>0.11160284787299769</v>
      </c>
      <c r="R32">
        <f t="shared" si="6"/>
        <v>-0.1796319161992462</v>
      </c>
      <c r="S32">
        <f>IF($P$2=1,0,K32/PLOT!$K$10)</f>
        <v>0.6141306363971939</v>
      </c>
      <c r="T32">
        <f>IF($P$2=1,$J$2,$J$2+L32/PLOT!$K$10)</f>
        <v>19.0223205695746</v>
      </c>
    </row>
    <row r="33" spans="1:20" ht="12.75">
      <c r="A33">
        <f t="shared" si="1"/>
        <v>5.320000000000002</v>
      </c>
      <c r="B33">
        <v>0.1520414730095885</v>
      </c>
      <c r="C33">
        <v>148251847.5907755</v>
      </c>
      <c r="D33">
        <v>-2.197518316591547E-05</v>
      </c>
      <c r="E33">
        <v>0.0036339657633246846</v>
      </c>
      <c r="F33">
        <f t="shared" si="2"/>
        <v>1.5690999866038917</v>
      </c>
      <c r="G33">
        <f t="shared" si="3"/>
        <v>247.25203939841975</v>
      </c>
      <c r="H33">
        <v>29</v>
      </c>
      <c r="I33">
        <f t="shared" si="7"/>
        <v>0.18667930991418966</v>
      </c>
      <c r="J33">
        <f t="shared" si="0"/>
        <v>0.8402940780838019</v>
      </c>
      <c r="K33">
        <f t="shared" si="4"/>
        <v>3.0351342946018893</v>
      </c>
      <c r="L33">
        <f t="shared" si="5"/>
        <v>0.1103119143971501</v>
      </c>
      <c r="R33">
        <f t="shared" si="6"/>
        <v>-0.18667930991418966</v>
      </c>
      <c r="S33">
        <f>IF($P$2=1,0,K33/PLOT!$K$10)</f>
        <v>0.6070268589203779</v>
      </c>
      <c r="T33">
        <f>IF($P$2=1,$J$2,$J$2+L33/PLOT!$K$10)</f>
        <v>19.02206238287943</v>
      </c>
    </row>
    <row r="34" spans="1:20" ht="12.75">
      <c r="A34">
        <f t="shared" si="1"/>
        <v>5.5100000000000025</v>
      </c>
      <c r="B34">
        <v>0.1520414730095885</v>
      </c>
      <c r="C34">
        <v>148251847.5907755</v>
      </c>
      <c r="D34">
        <v>-2.197518316591547E-05</v>
      </c>
      <c r="E34">
        <v>0.0036339657633246846</v>
      </c>
      <c r="F34">
        <f t="shared" si="2"/>
        <v>1.521569305472835</v>
      </c>
      <c r="G34">
        <f t="shared" si="3"/>
        <v>240.63432340554985</v>
      </c>
      <c r="H34">
        <v>30</v>
      </c>
      <c r="I34">
        <f t="shared" si="7"/>
        <v>0.19425525815775388</v>
      </c>
      <c r="J34">
        <f t="shared" si="0"/>
        <v>0.8301310305452249</v>
      </c>
      <c r="K34">
        <f t="shared" si="4"/>
        <v>2.9984254626268436</v>
      </c>
      <c r="L34">
        <f t="shared" si="5"/>
        <v>0.10897773240142995</v>
      </c>
      <c r="R34">
        <f t="shared" si="6"/>
        <v>-0.19425525815775388</v>
      </c>
      <c r="S34">
        <f>IF($P$2=1,0,K34/PLOT!$K$10)</f>
        <v>0.5996850925253687</v>
      </c>
      <c r="T34">
        <f>IF($P$2=1,$J$2,$J$2+L34/PLOT!$K$10)</f>
        <v>19.021795546480288</v>
      </c>
    </row>
    <row r="35" spans="1:20" ht="12.75">
      <c r="A35">
        <f t="shared" si="1"/>
        <v>5.700000000000003</v>
      </c>
      <c r="B35">
        <v>0.1520414730095885</v>
      </c>
      <c r="C35">
        <v>148251847.5907755</v>
      </c>
      <c r="D35">
        <v>-2.197518316591547E-05</v>
      </c>
      <c r="E35">
        <v>0.0036339657633246846</v>
      </c>
      <c r="F35">
        <f t="shared" si="2"/>
        <v>1.4753084768445601</v>
      </c>
      <c r="G35">
        <f t="shared" si="3"/>
        <v>234.21743303181722</v>
      </c>
      <c r="H35">
        <v>31</v>
      </c>
      <c r="I35">
        <f t="shared" si="7"/>
        <v>0.2023994025195854</v>
      </c>
      <c r="J35">
        <f t="shared" si="0"/>
        <v>0.8196413412388438</v>
      </c>
      <c r="K35">
        <f t="shared" si="4"/>
        <v>2.960536803663403</v>
      </c>
      <c r="L35">
        <f t="shared" si="5"/>
        <v>0.10760066960996421</v>
      </c>
      <c r="R35">
        <f t="shared" si="6"/>
        <v>-0.2023994025195854</v>
      </c>
      <c r="S35">
        <f>IF($P$2=1,0,K35/PLOT!$K$10)</f>
        <v>0.5921073607326807</v>
      </c>
      <c r="T35">
        <f>IF($P$2=1,$J$2,$J$2+L35/PLOT!$K$10)</f>
        <v>19.021520133921992</v>
      </c>
    </row>
    <row r="36" spans="1:20" ht="12.75">
      <c r="A36">
        <f t="shared" si="1"/>
        <v>5.890000000000003</v>
      </c>
      <c r="B36">
        <v>0.1520414730095885</v>
      </c>
      <c r="C36">
        <v>148251847.5907755</v>
      </c>
      <c r="D36">
        <v>-2.197518316591547E-05</v>
      </c>
      <c r="E36">
        <v>0.0036339657633246846</v>
      </c>
      <c r="F36">
        <f t="shared" si="2"/>
        <v>1.430278892928543</v>
      </c>
      <c r="G36">
        <f t="shared" si="3"/>
        <v>227.99601294817313</v>
      </c>
      <c r="H36">
        <v>32</v>
      </c>
      <c r="I36">
        <f t="shared" si="7"/>
        <v>0.2111543577085543</v>
      </c>
      <c r="J36">
        <f t="shared" si="0"/>
        <v>0.8088286871987774</v>
      </c>
      <c r="K36">
        <f t="shared" si="4"/>
        <v>2.9214815991241676</v>
      </c>
      <c r="L36">
        <f t="shared" si="5"/>
        <v>0.10618120873551207</v>
      </c>
      <c r="R36">
        <f t="shared" si="6"/>
        <v>-0.2111543577085543</v>
      </c>
      <c r="S36">
        <f>IF($P$2=1,0,K36/PLOT!$K$10)</f>
        <v>0.5842963198248335</v>
      </c>
      <c r="T36">
        <f>IF($P$2=1,$J$2,$J$2+L36/PLOT!$K$10)</f>
        <v>19.021236241747104</v>
      </c>
    </row>
    <row r="37" spans="1:20" ht="12.75">
      <c r="A37">
        <f t="shared" si="1"/>
        <v>6.080000000000004</v>
      </c>
      <c r="B37">
        <v>0.1520414730095885</v>
      </c>
      <c r="C37">
        <v>148251847.5907755</v>
      </c>
      <c r="D37">
        <v>-2.197518316591547E-05</v>
      </c>
      <c r="E37">
        <v>0.0036339657633246846</v>
      </c>
      <c r="F37">
        <f t="shared" si="2"/>
        <v>1.3864429734912511</v>
      </c>
      <c r="G37">
        <f t="shared" si="3"/>
        <v>221.96487095874744</v>
      </c>
      <c r="H37">
        <v>33</v>
      </c>
      <c r="I37">
        <f t="shared" si="7"/>
        <v>0.22056593453669587</v>
      </c>
      <c r="J37">
        <f aca="true" t="shared" si="8" ref="J37:J68">IF(I37&lt;=$G$2,1,BESSELK($H$2/$G$2*I37,0)/BESSELK($H$2,0))</f>
        <v>0.7976975946652581</v>
      </c>
      <c r="K37">
        <f t="shared" si="4"/>
        <v>2.8812761977462205</v>
      </c>
      <c r="L37">
        <f t="shared" si="5"/>
        <v>0.10471994397269901</v>
      </c>
      <c r="R37">
        <f t="shared" si="6"/>
        <v>-0.22056593453669587</v>
      </c>
      <c r="S37">
        <f>IF($P$2=1,0,K37/PLOT!$K$10)</f>
        <v>0.5762552395492441</v>
      </c>
      <c r="T37">
        <f>IF($P$2=1,$J$2,$J$2+L37/PLOT!$K$10)</f>
        <v>19.02094398879454</v>
      </c>
    </row>
    <row r="38" spans="1:20" ht="12.75">
      <c r="A38">
        <f aca="true" t="shared" si="9" ref="A38:A55">A37+$C$2</f>
        <v>6.270000000000004</v>
      </c>
      <c r="B38">
        <v>0.1520414730095885</v>
      </c>
      <c r="C38">
        <v>148251847.5907755</v>
      </c>
      <c r="D38">
        <v>-2.197518316591547E-05</v>
      </c>
      <c r="E38">
        <v>0.0036339657633246846</v>
      </c>
      <c r="F38">
        <f t="shared" si="2"/>
        <v>1.3437641344928979</v>
      </c>
      <c r="G38">
        <f t="shared" si="3"/>
        <v>216.11897366760977</v>
      </c>
      <c r="H38">
        <v>34</v>
      </c>
      <c r="I38">
        <f t="shared" si="7"/>
        <v>0.23068337962694807</v>
      </c>
      <c r="J38">
        <f t="shared" si="8"/>
        <v>0.7862534057097617</v>
      </c>
      <c r="K38">
        <f t="shared" si="4"/>
        <v>2.83993989504141</v>
      </c>
      <c r="L38">
        <f t="shared" si="5"/>
        <v>0.10321757661663913</v>
      </c>
      <c r="R38">
        <f t="shared" si="6"/>
        <v>-0.23068337962694807</v>
      </c>
      <c r="S38">
        <f>IF($P$2=1,0,K38/PLOT!$K$10)</f>
        <v>0.567987979008282</v>
      </c>
      <c r="T38">
        <f>IF($P$2=1,$J$2,$J$2+L38/PLOT!$K$10)</f>
        <v>19.02064351532333</v>
      </c>
    </row>
    <row r="39" spans="1:20" ht="12.75">
      <c r="A39">
        <f t="shared" si="9"/>
        <v>6.460000000000004</v>
      </c>
      <c r="B39">
        <v>0.1520414730095885</v>
      </c>
      <c r="C39">
        <v>148251847.5907755</v>
      </c>
      <c r="D39">
        <v>-2.197518316591547E-05</v>
      </c>
      <c r="E39">
        <v>0.0036339657633246846</v>
      </c>
      <c r="F39">
        <f t="shared" si="2"/>
        <v>1.302206757555587</v>
      </c>
      <c r="G39">
        <f t="shared" si="3"/>
        <v>210.4534422780602</v>
      </c>
      <c r="H39">
        <v>35</v>
      </c>
      <c r="I39">
        <f t="shared" si="7"/>
        <v>0.24155963309896916</v>
      </c>
      <c r="J39">
        <f t="shared" si="8"/>
        <v>0.7745022391085128</v>
      </c>
      <c r="K39">
        <f t="shared" si="4"/>
        <v>2.7974947919718227</v>
      </c>
      <c r="L39">
        <f t="shared" si="5"/>
        <v>0.10167490992649694</v>
      </c>
      <c r="R39">
        <f t="shared" si="6"/>
        <v>-0.24155963309896916</v>
      </c>
      <c r="S39">
        <f>IF($P$2=1,0,K39/PLOT!$K$10)</f>
        <v>0.5594989583943646</v>
      </c>
      <c r="T39">
        <f>IF($P$2=1,$J$2,$J$2+L39/PLOT!$K$10)</f>
        <v>19.0203349819853</v>
      </c>
    </row>
    <row r="40" spans="1:20" ht="12.75">
      <c r="A40">
        <f t="shared" si="9"/>
        <v>6.650000000000005</v>
      </c>
      <c r="B40">
        <v>0.1520414730095885</v>
      </c>
      <c r="C40">
        <v>148251847.5907755</v>
      </c>
      <c r="D40">
        <v>-2.197518316591547E-05</v>
      </c>
      <c r="E40">
        <v>0.0036339657633246846</v>
      </c>
      <c r="F40">
        <f t="shared" si="2"/>
        <v>1.2617361602373667</v>
      </c>
      <c r="G40">
        <f t="shared" si="3"/>
        <v>204.96354852094368</v>
      </c>
      <c r="H40">
        <v>36</v>
      </c>
      <c r="I40">
        <f t="shared" si="7"/>
        <v>0.25325160558139187</v>
      </c>
      <c r="J40">
        <f t="shared" si="8"/>
        <v>0.7624509464902904</v>
      </c>
      <c r="K40">
        <f t="shared" si="4"/>
        <v>2.7539656365560665</v>
      </c>
      <c r="L40">
        <f t="shared" si="5"/>
        <v>0.10009284336867007</v>
      </c>
      <c r="R40">
        <f t="shared" si="6"/>
        <v>-0.25325160558139187</v>
      </c>
      <c r="S40">
        <f>IF($P$2=1,0,K40/PLOT!$K$10)</f>
        <v>0.5507931273112133</v>
      </c>
      <c r="T40">
        <f>IF($P$2=1,$J$2,$J$2+L40/PLOT!$K$10)</f>
        <v>19.020018568673734</v>
      </c>
    </row>
    <row r="41" spans="1:20" ht="12.75">
      <c r="A41">
        <f t="shared" si="9"/>
        <v>6.840000000000005</v>
      </c>
      <c r="B41">
        <v>0.1520414730095885</v>
      </c>
      <c r="C41">
        <v>148251847.5907755</v>
      </c>
      <c r="D41">
        <v>-2.197518316591547E-05</v>
      </c>
      <c r="E41">
        <v>0.0036339657633246846</v>
      </c>
      <c r="F41">
        <f t="shared" si="2"/>
        <v>1.222318567087386</v>
      </c>
      <c r="G41">
        <f t="shared" si="3"/>
        <v>199.64471070858906</v>
      </c>
      <c r="H41">
        <v>37</v>
      </c>
      <c r="I41">
        <f t="shared" si="7"/>
        <v>0.26582047599999625</v>
      </c>
      <c r="J41">
        <f t="shared" si="8"/>
        <v>0.7501070648684367</v>
      </c>
      <c r="K41">
        <f t="shared" si="4"/>
        <v>2.709379652415336</v>
      </c>
      <c r="L41">
        <f t="shared" si="5"/>
        <v>0.0984723663852982</v>
      </c>
      <c r="R41">
        <f t="shared" si="6"/>
        <v>-0.26582047599999625</v>
      </c>
      <c r="S41">
        <f>IF($P$2=1,0,K41/PLOT!$K$10)</f>
        <v>0.5418759304830673</v>
      </c>
      <c r="T41">
        <f>IF($P$2=1,$J$2,$J$2+L41/PLOT!$K$10)</f>
        <v>19.01969447327706</v>
      </c>
    </row>
    <row r="42" spans="1:20" ht="12.75">
      <c r="A42">
        <f t="shared" si="9"/>
        <v>7.030000000000006</v>
      </c>
      <c r="B42">
        <v>0.1520414730095885</v>
      </c>
      <c r="C42">
        <v>148251847.5907755</v>
      </c>
      <c r="D42">
        <v>-2.197518316591547E-05</v>
      </c>
      <c r="E42">
        <v>0.0036339657633246846</v>
      </c>
      <c r="F42">
        <f t="shared" si="2"/>
        <v>1.183921081457996</v>
      </c>
      <c r="G42">
        <f t="shared" si="3"/>
        <v>194.49248991108124</v>
      </c>
      <c r="H42">
        <v>38</v>
      </c>
      <c r="I42">
        <f t="shared" si="7"/>
        <v>0.27933201169999594</v>
      </c>
      <c r="J42">
        <f t="shared" si="8"/>
        <v>0.7374787667186304</v>
      </c>
      <c r="K42">
        <f t="shared" si="4"/>
        <v>2.6637663584547995</v>
      </c>
      <c r="L42">
        <f t="shared" si="5"/>
        <v>0.0968145518405857</v>
      </c>
      <c r="R42">
        <f t="shared" si="6"/>
        <v>-0.27933201169999594</v>
      </c>
      <c r="S42">
        <f>IF($P$2=1,0,K42/PLOT!$K$10)</f>
        <v>0.5327532716909599</v>
      </c>
      <c r="T42">
        <f>IF($P$2=1,$J$2,$J$2+L42/PLOT!$K$10)</f>
        <v>19.019362910368116</v>
      </c>
    </row>
    <row r="43" spans="1:20" ht="12.75">
      <c r="A43">
        <f t="shared" si="9"/>
        <v>7.220000000000006</v>
      </c>
      <c r="B43">
        <v>0.1520414730095885</v>
      </c>
      <c r="C43">
        <v>148251847.5907755</v>
      </c>
      <c r="D43">
        <v>-2.197518316591547E-05</v>
      </c>
      <c r="E43">
        <v>0.0036339657633246846</v>
      </c>
      <c r="F43">
        <f t="shared" si="2"/>
        <v>1.1465116580502726</v>
      </c>
      <c r="G43">
        <f t="shared" si="3"/>
        <v>189.50258625167396</v>
      </c>
      <c r="H43">
        <v>39</v>
      </c>
      <c r="I43">
        <f>I42+($G$2/100)*$I$2^(H43-2)</f>
        <v>0.29385691257749563</v>
      </c>
      <c r="J43">
        <f t="shared" si="8"/>
        <v>0.7245748087837992</v>
      </c>
      <c r="K43">
        <f t="shared" si="4"/>
        <v>2.6171573839474243</v>
      </c>
      <c r="L43">
        <f t="shared" si="5"/>
        <v>0.09512054930002564</v>
      </c>
      <c r="R43">
        <f t="shared" si="6"/>
        <v>-0.29385691257749563</v>
      </c>
      <c r="S43">
        <f>IF($P$2=1,0,K43/PLOT!$K$10)</f>
        <v>0.5234314767894849</v>
      </c>
      <c r="T43">
        <f>IF($P$2=1,$J$2,$J$2+L43/PLOT!$K$10)</f>
        <v>19.019024109860005</v>
      </c>
    </row>
    <row r="44" spans="1:20" ht="12.75">
      <c r="A44">
        <f t="shared" si="9"/>
        <v>7.410000000000006</v>
      </c>
      <c r="B44">
        <v>0.1520414730095885</v>
      </c>
      <c r="C44">
        <v>148251847.5907755</v>
      </c>
      <c r="D44">
        <v>-2.197518316591547E-05</v>
      </c>
      <c r="E44">
        <v>0.0036339657633246846</v>
      </c>
      <c r="F44">
        <f t="shared" si="2"/>
        <v>1.110059076170048</v>
      </c>
      <c r="G44">
        <f t="shared" si="3"/>
        <v>184.67083531825145</v>
      </c>
      <c r="H44">
        <v>40</v>
      </c>
      <c r="I44">
        <f t="shared" si="7"/>
        <v>0.3094711810208078</v>
      </c>
      <c r="J44">
        <f t="shared" si="8"/>
        <v>0.7114044807773007</v>
      </c>
      <c r="K44">
        <f t="shared" si="4"/>
        <v>2.56958628325035</v>
      </c>
      <c r="L44">
        <f t="shared" si="5"/>
        <v>0.09339157829626907</v>
      </c>
      <c r="R44">
        <f t="shared" si="6"/>
        <v>-0.3094711810208078</v>
      </c>
      <c r="S44">
        <f>IF($P$2=1,0,K44/PLOT!$K$10)</f>
        <v>0.51391725665007</v>
      </c>
      <c r="T44">
        <f>IF($P$2=1,$J$2,$J$2+L44/PLOT!$K$10)</f>
        <v>19.018678315659255</v>
      </c>
    </row>
    <row r="45" spans="1:20" ht="12.75">
      <c r="A45">
        <f t="shared" si="9"/>
        <v>7.600000000000007</v>
      </c>
      <c r="B45">
        <v>0.1520414730095885</v>
      </c>
      <c r="C45">
        <v>148251847.5907755</v>
      </c>
      <c r="D45">
        <v>-2.197518316591547E-05</v>
      </c>
      <c r="E45">
        <v>0.0036339657633246846</v>
      </c>
      <c r="F45">
        <f t="shared" si="2"/>
        <v>1.0745329136721287</v>
      </c>
      <c r="G45">
        <f t="shared" si="3"/>
        <v>179.99320468784524</v>
      </c>
      <c r="H45">
        <v>41</v>
      </c>
      <c r="I45">
        <f t="shared" si="7"/>
        <v>0.32625651959736834</v>
      </c>
      <c r="J45">
        <f t="shared" si="8"/>
        <v>0.6979775551180818</v>
      </c>
      <c r="K45">
        <f t="shared" si="4"/>
        <v>2.5210883542487594</v>
      </c>
      <c r="L45">
        <f t="shared" si="5"/>
        <v>0.0916289217304698</v>
      </c>
      <c r="R45">
        <f t="shared" si="6"/>
        <v>-0.32625651959736834</v>
      </c>
      <c r="S45">
        <f>IF($P$2=1,0,K45/PLOT!$K$10)</f>
        <v>0.5042176708497519</v>
      </c>
      <c r="T45">
        <f>IF($P$2=1,$J$2,$J$2+L45/PLOT!$K$10)</f>
        <v>19.018325784346093</v>
      </c>
    </row>
    <row r="46" spans="1:20" ht="12.75">
      <c r="A46">
        <f t="shared" si="9"/>
        <v>7.790000000000007</v>
      </c>
      <c r="B46">
        <v>0.1520414730095885</v>
      </c>
      <c r="C46">
        <v>148251847.5907755</v>
      </c>
      <c r="D46">
        <v>-2.197518316591547E-05</v>
      </c>
      <c r="E46">
        <v>0.0036339657633246846</v>
      </c>
      <c r="F46">
        <f t="shared" si="2"/>
        <v>1.0399035215709571</v>
      </c>
      <c r="G46">
        <f t="shared" si="3"/>
        <v>175.46579056130412</v>
      </c>
      <c r="H46">
        <v>42</v>
      </c>
      <c r="I46">
        <f t="shared" si="7"/>
        <v>0.34430075856717096</v>
      </c>
      <c r="J46">
        <f t="shared" si="8"/>
        <v>0.6843042387707168</v>
      </c>
      <c r="K46">
        <f t="shared" si="4"/>
        <v>2.471700464402546</v>
      </c>
      <c r="L46">
        <f t="shared" si="5"/>
        <v>0.08983391954995311</v>
      </c>
      <c r="R46">
        <f t="shared" si="6"/>
        <v>-0.34430075856717096</v>
      </c>
      <c r="S46">
        <f>IF($P$2=1,0,K46/PLOT!$K$10)</f>
        <v>0.4943400928805092</v>
      </c>
      <c r="T46">
        <f>IF($P$2=1,$J$2,$J$2+L46/PLOT!$K$10)</f>
        <v>19.01796678390999</v>
      </c>
    </row>
    <row r="47" spans="1:20" ht="12.75">
      <c r="A47">
        <f t="shared" si="9"/>
        <v>7.9800000000000075</v>
      </c>
      <c r="B47">
        <v>0.1520414730095885</v>
      </c>
      <c r="C47">
        <v>148251847.5907755</v>
      </c>
      <c r="D47">
        <v>-2.197518316591547E-05</v>
      </c>
      <c r="E47">
        <v>0.0036339657633246846</v>
      </c>
      <c r="F47">
        <f t="shared" si="2"/>
        <v>1.006141999296529</v>
      </c>
      <c r="G47">
        <f t="shared" si="3"/>
        <v>171.08481450530996</v>
      </c>
      <c r="H47">
        <v>43</v>
      </c>
      <c r="I47">
        <f t="shared" si="7"/>
        <v>0.36369831545970877</v>
      </c>
      <c r="J47">
        <f t="shared" si="8"/>
        <v>0.6703951281832079</v>
      </c>
      <c r="K47">
        <f t="shared" si="4"/>
        <v>2.4214608879820774</v>
      </c>
      <c r="L47">
        <f t="shared" si="5"/>
        <v>0.08800796283255168</v>
      </c>
      <c r="R47">
        <f t="shared" si="6"/>
        <v>-0.36369831545970877</v>
      </c>
      <c r="S47">
        <f>IF($P$2=1,0,K47/PLOT!$K$10)</f>
        <v>0.48429217759641546</v>
      </c>
      <c r="T47">
        <f>IF($P$2=1,$J$2,$J$2+L47/PLOT!$K$10)</f>
        <v>19.01760159256651</v>
      </c>
    </row>
    <row r="48" spans="1:20" ht="12.75">
      <c r="A48">
        <f t="shared" si="9"/>
        <v>8.170000000000007</v>
      </c>
      <c r="B48">
        <v>0.1520414730095885</v>
      </c>
      <c r="C48">
        <v>148251847.5907755</v>
      </c>
      <c r="D48">
        <v>-2.197518316591547E-05</v>
      </c>
      <c r="E48">
        <v>0.0036339657633246846</v>
      </c>
      <c r="F48">
        <f t="shared" si="2"/>
        <v>0.9732201705749117</v>
      </c>
      <c r="G48">
        <f t="shared" si="3"/>
        <v>166.84662029901938</v>
      </c>
      <c r="H48">
        <v>44</v>
      </c>
      <c r="I48">
        <f t="shared" si="7"/>
        <v>0.38455068911918694</v>
      </c>
      <c r="J48">
        <f t="shared" si="8"/>
        <v>0.6562611682207894</v>
      </c>
      <c r="K48">
        <f t="shared" si="4"/>
        <v>2.3704091577374804</v>
      </c>
      <c r="L48">
        <f t="shared" si="5"/>
        <v>0.08615248839552778</v>
      </c>
      <c r="R48">
        <f t="shared" si="6"/>
        <v>-0.38455068911918694</v>
      </c>
      <c r="S48">
        <f>IF($P$2=1,0,K48/PLOT!$K$10)</f>
        <v>0.47408183154749606</v>
      </c>
      <c r="T48">
        <f>IF($P$2=1,$J$2,$J$2+L48/PLOT!$K$10)</f>
        <v>19.017230497679105</v>
      </c>
    </row>
    <row r="49" spans="1:20" ht="12.75">
      <c r="A49">
        <f t="shared" si="9"/>
        <v>8.360000000000007</v>
      </c>
      <c r="B49">
        <v>0.1520414730095885</v>
      </c>
      <c r="C49">
        <v>148251847.5907755</v>
      </c>
      <c r="D49">
        <v>-2.197518316591547E-05</v>
      </c>
      <c r="E49">
        <v>0.0036339657633246846</v>
      </c>
      <c r="F49">
        <f t="shared" si="2"/>
        <v>0.9411105599132396</v>
      </c>
      <c r="G49">
        <f t="shared" si="3"/>
        <v>162.74767088270016</v>
      </c>
      <c r="H49">
        <v>45</v>
      </c>
      <c r="I49">
        <f t="shared" si="7"/>
        <v>0.4069669908031259</v>
      </c>
      <c r="J49">
        <f t="shared" si="8"/>
        <v>0.6419136158890564</v>
      </c>
      <c r="K49">
        <f t="shared" si="4"/>
        <v>2.318585933866926</v>
      </c>
      <c r="L49">
        <f t="shared" si="5"/>
        <v>0.08426897403322743</v>
      </c>
      <c r="R49">
        <f t="shared" si="6"/>
        <v>-0.4069669908031259</v>
      </c>
      <c r="S49">
        <f>IF($P$2=1,0,K49/PLOT!$K$10)</f>
        <v>0.46371718677338525</v>
      </c>
      <c r="T49">
        <f>IF($P$2=1,$J$2,$J$2+L49/PLOT!$K$10)</f>
        <v>19.016853794806647</v>
      </c>
    </row>
    <row r="50" spans="1:20" ht="12.75">
      <c r="A50">
        <f t="shared" si="9"/>
        <v>8.550000000000006</v>
      </c>
      <c r="B50">
        <v>0.1520414730095885</v>
      </c>
      <c r="C50">
        <v>148251847.5907755</v>
      </c>
      <c r="D50">
        <v>-2.197518316591547E-05</v>
      </c>
      <c r="E50">
        <v>0.0036339657633246846</v>
      </c>
      <c r="F50">
        <f t="shared" si="2"/>
        <v>0.909786369669554</v>
      </c>
      <c r="G50">
        <f t="shared" si="3"/>
        <v>158.7845454058157</v>
      </c>
      <c r="H50">
        <v>46</v>
      </c>
      <c r="I50">
        <f t="shared" si="7"/>
        <v>0.43106451511336036</v>
      </c>
      <c r="J50">
        <f t="shared" si="8"/>
        <v>0.6273640095287283</v>
      </c>
      <c r="K50">
        <f t="shared" si="4"/>
        <v>2.266032892748403</v>
      </c>
      <c r="L50">
        <f t="shared" si="5"/>
        <v>0.08235893447303827</v>
      </c>
      <c r="R50">
        <f t="shared" si="6"/>
        <v>-0.43106451511336036</v>
      </c>
      <c r="S50">
        <f>IF($P$2=1,0,K50/PLOT!$K$10)</f>
        <v>0.45320657854968055</v>
      </c>
      <c r="T50">
        <f>IF($P$2=1,$J$2,$J$2+L50/PLOT!$K$10)</f>
        <v>19.01647178689461</v>
      </c>
    </row>
    <row r="51" spans="1:20" ht="12.75">
      <c r="A51">
        <f t="shared" si="9"/>
        <v>8.740000000000006</v>
      </c>
      <c r="B51">
        <v>0.1520414730095885</v>
      </c>
      <c r="C51">
        <v>148251847.5907755</v>
      </c>
      <c r="D51">
        <v>-2.197518316591547E-05</v>
      </c>
      <c r="E51">
        <v>0.0036339657633246846</v>
      </c>
      <c r="F51">
        <f t="shared" si="2"/>
        <v>0.8792214576883612</v>
      </c>
      <c r="G51">
        <f t="shared" si="3"/>
        <v>154.9539363720939</v>
      </c>
      <c r="H51">
        <v>47</v>
      </c>
      <c r="I51">
        <f t="shared" si="7"/>
        <v>0.4569693537468624</v>
      </c>
      <c r="J51">
        <f t="shared" si="8"/>
        <v>0.6126241440508322</v>
      </c>
      <c r="K51">
        <f t="shared" si="4"/>
        <v>2.212792637489435</v>
      </c>
      <c r="L51">
        <f t="shared" si="5"/>
        <v>0.08042391812432015</v>
      </c>
      <c r="R51">
        <f t="shared" si="6"/>
        <v>-0.4569693537468624</v>
      </c>
      <c r="S51">
        <f>IF($P$2=1,0,K51/PLOT!$K$10)</f>
        <v>0.442558527497887</v>
      </c>
      <c r="T51">
        <f>IF($P$2=1,$J$2,$J$2+L51/PLOT!$K$10)</f>
        <v>19.016084783624866</v>
      </c>
    </row>
    <row r="52" spans="1:20" ht="12.75">
      <c r="A52">
        <f t="shared" si="9"/>
        <v>8.930000000000005</v>
      </c>
      <c r="B52">
        <v>0.1520414730095885</v>
      </c>
      <c r="C52">
        <v>148251847.5907755</v>
      </c>
      <c r="D52">
        <v>-2.197518316591547E-05</v>
      </c>
      <c r="E52">
        <v>0.0036339657633246846</v>
      </c>
      <c r="F52">
        <f t="shared" si="2"/>
        <v>0.8493903154832343</v>
      </c>
      <c r="G52">
        <f t="shared" si="3"/>
        <v>151.25264687919756</v>
      </c>
      <c r="H52">
        <v>48</v>
      </c>
      <c r="I52">
        <f t="shared" si="7"/>
        <v>0.48481705527787705</v>
      </c>
      <c r="J52">
        <f t="shared" si="8"/>
        <v>0.5977060526680312</v>
      </c>
      <c r="K52">
        <f t="shared" si="4"/>
        <v>2.1589086319408097</v>
      </c>
      <c r="L52">
        <f t="shared" si="5"/>
        <v>0.07846550468013509</v>
      </c>
      <c r="R52">
        <f t="shared" si="6"/>
        <v>-0.48481705527787705</v>
      </c>
      <c r="S52">
        <f>IF($P$2=1,0,K52/PLOT!$K$10)</f>
        <v>0.4317817263881619</v>
      </c>
      <c r="T52">
        <f>IF($P$2=1,$J$2,$J$2+L52/PLOT!$K$10)</f>
        <v>19.015693100936026</v>
      </c>
    </row>
    <row r="53" spans="1:20" ht="12.75">
      <c r="A53">
        <f t="shared" si="9"/>
        <v>9.120000000000005</v>
      </c>
      <c r="B53">
        <v>0.1520414730095885</v>
      </c>
      <c r="C53">
        <v>148251847.5907755</v>
      </c>
      <c r="D53">
        <v>-2.197518316591547E-05</v>
      </c>
      <c r="E53">
        <v>0.0036339657633246846</v>
      </c>
      <c r="F53">
        <f t="shared" si="2"/>
        <v>0.8202680469482551</v>
      </c>
      <c r="G53">
        <f t="shared" si="3"/>
        <v>147.67758795069363</v>
      </c>
      <c r="H53">
        <v>49</v>
      </c>
      <c r="I53">
        <f t="shared" si="7"/>
        <v>0.5147533344237178</v>
      </c>
      <c r="J53">
        <f t="shared" si="8"/>
        <v>0.5826219954674163</v>
      </c>
      <c r="K53">
        <f t="shared" si="4"/>
        <v>2.104425159421613</v>
      </c>
      <c r="L53">
        <f t="shared" si="5"/>
        <v>0.07648530361710915</v>
      </c>
      <c r="R53">
        <f t="shared" si="6"/>
        <v>-0.5147533344237178</v>
      </c>
      <c r="S53">
        <f>IF($P$2=1,0,K53/PLOT!$K$10)</f>
        <v>0.4208850318843226</v>
      </c>
      <c r="T53">
        <f>IF($P$2=1,$J$2,$J$2+L53/PLOT!$K$10)</f>
        <v>19.015297060723423</v>
      </c>
    </row>
    <row r="54" spans="1:20" ht="12.75">
      <c r="A54">
        <f t="shared" si="9"/>
        <v>9.310000000000004</v>
      </c>
      <c r="B54">
        <v>0.1520414730095885</v>
      </c>
      <c r="C54">
        <v>148251847.5907755</v>
      </c>
      <c r="D54">
        <v>-2.197518316591547E-05</v>
      </c>
      <c r="E54">
        <v>0.0036339657633246846</v>
      </c>
      <c r="F54">
        <f t="shared" si="2"/>
        <v>0.7918303475805317</v>
      </c>
      <c r="G54">
        <f t="shared" si="3"/>
        <v>144.225775958093</v>
      </c>
      <c r="H54">
        <v>50</v>
      </c>
      <c r="I54">
        <f t="shared" si="7"/>
        <v>0.5469348345054966</v>
      </c>
      <c r="J54">
        <f t="shared" si="8"/>
        <v>0.567384455063731</v>
      </c>
      <c r="K54">
        <f t="shared" si="4"/>
        <v>2.049387307018713</v>
      </c>
      <c r="L54">
        <f t="shared" si="5"/>
        <v>0.07448495362479751</v>
      </c>
      <c r="R54">
        <f t="shared" si="6"/>
        <v>-0.5469348345054966</v>
      </c>
      <c r="S54">
        <f>IF($P$2=1,0,K54/PLOT!$K$10)</f>
        <v>0.4098774614037426</v>
      </c>
      <c r="T54">
        <f>IF($P$2=1,$J$2,$J$2+L54/PLOT!$K$10)</f>
        <v>19.01489699072496</v>
      </c>
    </row>
    <row r="55" spans="1:20" ht="12.75">
      <c r="A55">
        <f t="shared" si="9"/>
        <v>9.500000000000004</v>
      </c>
      <c r="B55">
        <v>0.1520414730095885</v>
      </c>
      <c r="C55">
        <v>148251847.5907755</v>
      </c>
      <c r="D55">
        <v>-2.197518316591547E-05</v>
      </c>
      <c r="E55">
        <v>0.0036339657633246846</v>
      </c>
      <c r="F55">
        <f t="shared" si="2"/>
        <v>0.7640534841964453</v>
      </c>
      <c r="G55">
        <f t="shared" si="3"/>
        <v>140.89433013081086</v>
      </c>
      <c r="H55">
        <v>51</v>
      </c>
      <c r="I55">
        <f t="shared" si="7"/>
        <v>0.5815299470934089</v>
      </c>
      <c r="J55">
        <f t="shared" si="8"/>
        <v>0.5520061394702711</v>
      </c>
      <c r="K55">
        <f t="shared" si="4"/>
        <v>1.9938409759564268</v>
      </c>
      <c r="L55">
        <f t="shared" si="5"/>
        <v>0.07246612298256974</v>
      </c>
      <c r="R55">
        <f t="shared" si="6"/>
        <v>-0.5815299470934089</v>
      </c>
      <c r="S55">
        <f>IF($P$2=1,0,K55/PLOT!$K$10)</f>
        <v>0.39876819519128537</v>
      </c>
      <c r="T55">
        <f>IF($P$2=1,$J$2,$J$2+L55/PLOT!$K$10)</f>
        <v>19.014493224596514</v>
      </c>
    </row>
    <row r="56" spans="1:20" ht="12.75">
      <c r="A56">
        <f aca="true" t="shared" si="10" ref="A56:A98">A55+$C$2</f>
        <v>9.690000000000003</v>
      </c>
      <c r="B56">
        <v>0.1520414730095885</v>
      </c>
      <c r="C56">
        <v>148251847.5907755</v>
      </c>
      <c r="D56">
        <v>-2.197518316591547E-05</v>
      </c>
      <c r="E56">
        <v>0.0036339657633246846</v>
      </c>
      <c r="F56">
        <f aca="true" t="shared" si="11" ref="F56:F99">(D56*EXP(B56*A56)+E56*EXP(-B56*A56))*1000</f>
        <v>0.7369142751247038</v>
      </c>
      <c r="G56">
        <f t="shared" si="3"/>
        <v>137.68047015196876</v>
      </c>
      <c r="H56">
        <v>52</v>
      </c>
      <c r="I56">
        <f t="shared" si="7"/>
        <v>0.6187196931254145</v>
      </c>
      <c r="J56">
        <f t="shared" si="8"/>
        <v>0.5364999922274077</v>
      </c>
      <c r="K56">
        <f t="shared" si="4"/>
        <v>1.9378329181806495</v>
      </c>
      <c r="L56">
        <f t="shared" si="5"/>
        <v>0.07043051088925953</v>
      </c>
      <c r="R56">
        <f t="shared" si="6"/>
        <v>-0.6187196931254145</v>
      </c>
      <c r="S56">
        <f>IF($P$2=1,0,K56/PLOT!$K$10)</f>
        <v>0.3875665836361299</v>
      </c>
      <c r="T56">
        <f>IF($P$2=1,$J$2,$J$2+L56/PLOT!$K$10)</f>
        <v>19.014086102177853</v>
      </c>
    </row>
    <row r="57" spans="1:20" ht="12.75">
      <c r="A57">
        <f t="shared" si="10"/>
        <v>9.880000000000003</v>
      </c>
      <c r="B57">
        <v>0.1520414730095885</v>
      </c>
      <c r="C57">
        <v>148251847.5907755</v>
      </c>
      <c r="D57">
        <v>-2.197518316591547E-05</v>
      </c>
      <c r="E57">
        <v>0.0036339657633246846</v>
      </c>
      <c r="F57">
        <f t="shared" si="11"/>
        <v>0.7103900708596687</v>
      </c>
      <c r="G57">
        <f t="shared" si="3"/>
        <v>134.58151383803227</v>
      </c>
      <c r="H57">
        <v>53</v>
      </c>
      <c r="I57">
        <f t="shared" si="7"/>
        <v>0.6586986701098206</v>
      </c>
      <c r="J57">
        <f t="shared" si="8"/>
        <v>0.5208792097348616</v>
      </c>
      <c r="K57">
        <f t="shared" si="4"/>
        <v>1.881410798962864</v>
      </c>
      <c r="L57">
        <f t="shared" si="5"/>
        <v>0.06837984973850653</v>
      </c>
      <c r="R57">
        <f t="shared" si="6"/>
        <v>-0.6586986701098206</v>
      </c>
      <c r="S57">
        <f>IF($P$2=1,0,K57/PLOT!$K$10)</f>
        <v>0.3762821597925728</v>
      </c>
      <c r="T57">
        <f>IF($P$2=1,$J$2,$J$2+L57/PLOT!$K$10)</f>
        <v>19.013675969947702</v>
      </c>
    </row>
    <row r="58" spans="1:20" ht="12.75">
      <c r="A58">
        <f t="shared" si="10"/>
        <v>10.070000000000002</v>
      </c>
      <c r="B58">
        <v>0.1520414730095885</v>
      </c>
      <c r="C58">
        <v>148251847.5907755</v>
      </c>
      <c r="D58">
        <v>-2.197518316591547E-05</v>
      </c>
      <c r="E58">
        <v>0.0036339657633246846</v>
      </c>
      <c r="F58">
        <f t="shared" si="11"/>
        <v>0.6844587351588112</v>
      </c>
      <c r="G58">
        <f t="shared" si="3"/>
        <v>131.59487490034718</v>
      </c>
      <c r="H58">
        <v>54</v>
      </c>
      <c r="I58">
        <f t="shared" si="7"/>
        <v>0.7016760703680571</v>
      </c>
      <c r="J58">
        <f t="shared" si="8"/>
        <v>0.5051572656419325</v>
      </c>
      <c r="K58">
        <f t="shared" si="4"/>
        <v>1.8246232849974213</v>
      </c>
      <c r="L58">
        <f t="shared" si="5"/>
        <v>0.0663159083206509</v>
      </c>
      <c r="R58">
        <f t="shared" si="6"/>
        <v>-0.7016760703680571</v>
      </c>
      <c r="S58">
        <f>IF($P$2=1,0,K58/PLOT!$K$10)</f>
        <v>0.3649246569994843</v>
      </c>
      <c r="T58">
        <f>IF($P$2=1,$J$2,$J$2+L58/PLOT!$K$10)</f>
        <v>19.01326318166413</v>
      </c>
    </row>
    <row r="59" spans="1:20" ht="12.75">
      <c r="A59">
        <f t="shared" si="10"/>
        <v>10.260000000000002</v>
      </c>
      <c r="B59">
        <v>0.1520414730095885</v>
      </c>
      <c r="C59">
        <v>148251847.5907755</v>
      </c>
      <c r="D59">
        <v>-2.197518316591547E-05</v>
      </c>
      <c r="E59">
        <v>0.0036339657633246846</v>
      </c>
      <c r="F59">
        <f t="shared" si="11"/>
        <v>0.6590986265685205</v>
      </c>
      <c r="G59">
        <f t="shared" si="3"/>
        <v>128.7180607867069</v>
      </c>
      <c r="H59">
        <v>55</v>
      </c>
      <c r="I59">
        <f>I58+($G$2/100)*$I$2^(H59-2)</f>
        <v>0.7478767756456615</v>
      </c>
      <c r="J59">
        <f t="shared" si="8"/>
        <v>0.48934794205767107</v>
      </c>
      <c r="K59">
        <f t="shared" si="4"/>
        <v>1.767520157132387</v>
      </c>
      <c r="L59">
        <f t="shared" si="5"/>
        <v>0.06424049591993425</v>
      </c>
      <c r="R59">
        <f t="shared" si="6"/>
        <v>-0.7478767756456615</v>
      </c>
      <c r="S59">
        <f>IF($P$2=1,0,K59/PLOT!$K$10)</f>
        <v>0.3535040314264774</v>
      </c>
      <c r="T59">
        <f>IF($P$2=1,$J$2,$J$2+L59/PLOT!$K$10)</f>
        <v>19.012848099183987</v>
      </c>
    </row>
    <row r="60" spans="1:20" ht="12.75">
      <c r="A60">
        <f t="shared" si="10"/>
        <v>10.450000000000001</v>
      </c>
      <c r="B60">
        <v>0.1520414730095885</v>
      </c>
      <c r="C60">
        <v>148251847.5907755</v>
      </c>
      <c r="D60">
        <v>-2.197518316591547E-05</v>
      </c>
      <c r="E60">
        <v>0.0036339657633246846</v>
      </c>
      <c r="F60">
        <f t="shared" si="11"/>
        <v>0.634288580362847</v>
      </c>
      <c r="G60">
        <f t="shared" si="3"/>
        <v>125.94867060114885</v>
      </c>
      <c r="H60">
        <v>56</v>
      </c>
      <c r="I60">
        <f t="shared" si="7"/>
        <v>0.797542533819086</v>
      </c>
      <c r="J60">
        <f t="shared" si="8"/>
        <v>0.47346536724784277</v>
      </c>
      <c r="K60">
        <f t="shared" si="4"/>
        <v>1.7101524465306204</v>
      </c>
      <c r="L60">
        <f t="shared" si="5"/>
        <v>0.062155467263272236</v>
      </c>
      <c r="R60">
        <f t="shared" si="6"/>
        <v>-0.797542533819086</v>
      </c>
      <c r="S60">
        <f>IF($P$2=1,0,K60/PLOT!$K$10)</f>
        <v>0.34203048930612406</v>
      </c>
      <c r="T60">
        <f>IF($P$2=1,$J$2,$J$2+L60/PLOT!$K$10)</f>
        <v>19.012431093452655</v>
      </c>
    </row>
    <row r="61" spans="1:20" ht="12.75">
      <c r="A61">
        <f t="shared" si="10"/>
        <v>10.64</v>
      </c>
      <c r="B61">
        <v>0.1520414730095885</v>
      </c>
      <c r="C61">
        <v>148251847.5907755</v>
      </c>
      <c r="D61">
        <v>-2.197518316591547E-05</v>
      </c>
      <c r="E61">
        <v>0.0036339657633246846</v>
      </c>
      <c r="F61">
        <f t="shared" si="11"/>
        <v>0.6100078908801057</v>
      </c>
      <c r="G61">
        <f t="shared" si="3"/>
        <v>123.28439310024447</v>
      </c>
      <c r="H61">
        <v>57</v>
      </c>
      <c r="I61">
        <f t="shared" si="7"/>
        <v>0.8509332238555175</v>
      </c>
      <c r="J61">
        <f t="shared" si="8"/>
        <v>0.45752405938443863</v>
      </c>
      <c r="K61">
        <f t="shared" si="4"/>
        <v>1.6525725926925936</v>
      </c>
      <c r="L61">
        <f t="shared" si="5"/>
        <v>0.060062728263591846</v>
      </c>
      <c r="R61">
        <f t="shared" si="6"/>
        <v>-0.8509332238555175</v>
      </c>
      <c r="S61">
        <f>IF($P$2=1,0,K61/PLOT!$K$10)</f>
        <v>0.3305145185385187</v>
      </c>
      <c r="T61">
        <f>IF($P$2=1,$J$2,$J$2+L61/PLOT!$K$10)</f>
        <v>19.01201254565272</v>
      </c>
    </row>
    <row r="62" spans="1:20" ht="12.75">
      <c r="A62">
        <f t="shared" si="10"/>
        <v>10.83</v>
      </c>
      <c r="B62">
        <v>0.1520414730095885</v>
      </c>
      <c r="C62">
        <v>148251847.5907755</v>
      </c>
      <c r="D62">
        <v>-2.197518316591547E-05</v>
      </c>
      <c r="E62">
        <v>0.0036339657633246846</v>
      </c>
      <c r="F62">
        <f t="shared" si="11"/>
        <v>0.5862362942426032</v>
      </c>
      <c r="G62">
        <f t="shared" si="3"/>
        <v>120.72300476421039</v>
      </c>
      <c r="H62">
        <v>58</v>
      </c>
      <c r="I62">
        <f t="shared" si="7"/>
        <v>0.9083282156446812</v>
      </c>
      <c r="J62">
        <f t="shared" si="8"/>
        <v>0.44153897580315776</v>
      </c>
      <c r="K62">
        <f t="shared" si="4"/>
        <v>1.5948346213739566</v>
      </c>
      <c r="L62">
        <f t="shared" si="5"/>
        <v>0.057964242486242726</v>
      </c>
      <c r="R62">
        <f t="shared" si="6"/>
        <v>-0.9083282156446812</v>
      </c>
      <c r="S62">
        <f>IF($P$2=1,0,K62/PLOT!$K$10)</f>
        <v>0.31896692427479134</v>
      </c>
      <c r="T62">
        <f>IF($P$2=1,$J$2,$J$2+L62/PLOT!$K$10)</f>
        <v>19.011592848497248</v>
      </c>
    </row>
    <row r="63" spans="1:20" ht="12.75">
      <c r="A63">
        <f t="shared" si="10"/>
        <v>11.02</v>
      </c>
      <c r="B63">
        <v>0.1520414730095885</v>
      </c>
      <c r="C63">
        <v>148251847.5907755</v>
      </c>
      <c r="D63">
        <v>-2.197518316591547E-05</v>
      </c>
      <c r="E63">
        <v>0.0036339657633246846</v>
      </c>
      <c r="F63">
        <f t="shared" si="11"/>
        <v>0.562953951445059</v>
      </c>
      <c r="G63">
        <f t="shared" si="3"/>
        <v>118.26236794123045</v>
      </c>
      <c r="H63">
        <v>59</v>
      </c>
      <c r="I63">
        <f t="shared" si="7"/>
        <v>0.9700278318180323</v>
      </c>
      <c r="J63">
        <f t="shared" si="8"/>
        <v>0.42552556710129597</v>
      </c>
      <c r="K63">
        <f t="shared" si="4"/>
        <v>1.5369943399865993</v>
      </c>
      <c r="L63">
        <f t="shared" si="5"/>
        <v>0.055862038250846235</v>
      </c>
      <c r="R63">
        <f t="shared" si="6"/>
        <v>-0.9700278318180323</v>
      </c>
      <c r="S63">
        <f>IF($P$2=1,0,K63/PLOT!$K$10)</f>
        <v>0.30739886799731986</v>
      </c>
      <c r="T63">
        <f>IF($P$2=1,$J$2,$J$2+L63/PLOT!$K$10)</f>
        <v>19.011172407650168</v>
      </c>
    </row>
    <row r="64" spans="1:20" ht="12.75">
      <c r="A64">
        <f t="shared" si="10"/>
        <v>11.209999999999999</v>
      </c>
      <c r="B64">
        <v>0.1520414730095885</v>
      </c>
      <c r="C64">
        <v>148251847.5907755</v>
      </c>
      <c r="D64">
        <v>-2.197518316591547E-05</v>
      </c>
      <c r="E64">
        <v>0.0036339657633246846</v>
      </c>
      <c r="F64">
        <f t="shared" si="11"/>
        <v>0.5401414317976153</v>
      </c>
      <c r="G64">
        <f t="shared" si="3"/>
        <v>115.90042906344102</v>
      </c>
      <c r="H64">
        <v>60</v>
      </c>
      <c r="I64">
        <f t="shared" si="7"/>
        <v>1.0363549192043846</v>
      </c>
      <c r="J64">
        <f t="shared" si="8"/>
        <v>0.4094998352693405</v>
      </c>
      <c r="K64">
        <f t="shared" si="4"/>
        <v>1.4791095475694254</v>
      </c>
      <c r="L64">
        <f t="shared" si="5"/>
        <v>0.053758216262680264</v>
      </c>
      <c r="R64">
        <f t="shared" si="6"/>
        <v>-1.0363549192043846</v>
      </c>
      <c r="S64">
        <f>IF($P$2=1,0,K64/PLOT!$K$10)</f>
        <v>0.2958219095138851</v>
      </c>
      <c r="T64">
        <f>IF($P$2=1,$J$2,$J$2+L64/PLOT!$K$10)</f>
        <v>19.010751643252537</v>
      </c>
    </row>
    <row r="65" spans="1:20" ht="12.75">
      <c r="A65">
        <f t="shared" si="10"/>
        <v>11.399999999999999</v>
      </c>
      <c r="B65">
        <v>0.1520414730095885</v>
      </c>
      <c r="C65">
        <v>148251847.5907755</v>
      </c>
      <c r="D65">
        <v>-2.197518316591547E-05</v>
      </c>
      <c r="E65">
        <v>0.0036339657633246846</v>
      </c>
      <c r="F65">
        <f t="shared" si="11"/>
        <v>0.5177796967096113</v>
      </c>
      <c r="G65">
        <f t="shared" si="3"/>
        <v>113.63521693308948</v>
      </c>
      <c r="H65">
        <v>61</v>
      </c>
      <c r="I65">
        <f t="shared" si="7"/>
        <v>1.1076565381447134</v>
      </c>
      <c r="J65">
        <f t="shared" si="8"/>
        <v>0.39347839489101283</v>
      </c>
      <c r="K65">
        <f t="shared" si="4"/>
        <v>1.4212402558423307</v>
      </c>
      <c r="L65">
        <f t="shared" si="5"/>
        <v>0.05165495764688306</v>
      </c>
      <c r="R65">
        <f t="shared" si="6"/>
        <v>-1.1076565381447134</v>
      </c>
      <c r="S65">
        <f>IF($P$2=1,0,K65/PLOT!$K$10)</f>
        <v>0.28424805116846613</v>
      </c>
      <c r="T65">
        <f>IF($P$2=1,$J$2,$J$2+L65/PLOT!$K$10)</f>
        <v>19.010330991529376</v>
      </c>
    </row>
    <row r="66" spans="1:20" ht="12.75">
      <c r="A66">
        <f t="shared" si="10"/>
        <v>11.589999999999998</v>
      </c>
      <c r="B66">
        <v>0.1520414730095885</v>
      </c>
      <c r="C66">
        <v>148251847.5907755</v>
      </c>
      <c r="D66">
        <v>-2.197518316591547E-05</v>
      </c>
      <c r="E66">
        <v>0.0036339657633246846</v>
      </c>
      <c r="F66">
        <f t="shared" si="11"/>
        <v>0.4958500838005918</v>
      </c>
      <c r="G66">
        <f t="shared" si="3"/>
        <v>111.46484107743649</v>
      </c>
      <c r="H66">
        <v>62</v>
      </c>
      <c r="I66">
        <f t="shared" si="7"/>
        <v>1.1843057785055668</v>
      </c>
      <c r="J66">
        <f t="shared" si="8"/>
        <v>0.3774785362654597</v>
      </c>
      <c r="K66">
        <f t="shared" si="4"/>
        <v>1.3634489172029607</v>
      </c>
      <c r="L66">
        <f t="shared" si="5"/>
        <v>0.049554532234992316</v>
      </c>
      <c r="R66">
        <f t="shared" si="6"/>
        <v>-1.1843057785055668</v>
      </c>
      <c r="S66">
        <f>IF($P$2=1,0,K66/PLOT!$K$10)</f>
        <v>0.27268978344059214</v>
      </c>
      <c r="T66">
        <f>IF($P$2=1,$J$2,$J$2+L66/PLOT!$K$10)</f>
        <v>19.009910906446997</v>
      </c>
    </row>
    <row r="67" spans="1:20" ht="12.75">
      <c r="A67">
        <f t="shared" si="10"/>
        <v>11.779999999999998</v>
      </c>
      <c r="B67">
        <v>0.1520414730095885</v>
      </c>
      <c r="C67">
        <v>148251847.5907755</v>
      </c>
      <c r="D67">
        <v>-2.197518316591547E-05</v>
      </c>
      <c r="E67">
        <v>0.0036339657633246846</v>
      </c>
      <c r="F67">
        <f t="shared" si="11"/>
        <v>0.4743342913252874</v>
      </c>
      <c r="G67">
        <f t="shared" si="3"/>
        <v>109.38749017102847</v>
      </c>
      <c r="H67">
        <v>63</v>
      </c>
      <c r="I67">
        <f t="shared" si="7"/>
        <v>1.2667037118934843</v>
      </c>
      <c r="J67">
        <f t="shared" si="8"/>
        <v>0.3615182890993173</v>
      </c>
      <c r="K67">
        <f t="shared" si="4"/>
        <v>1.3058006547818488</v>
      </c>
      <c r="L67">
        <f t="shared" si="5"/>
        <v>0.04745930692629596</v>
      </c>
      <c r="R67">
        <f t="shared" si="6"/>
        <v>-1.2667037118934843</v>
      </c>
      <c r="S67">
        <f>IF($P$2=1,0,K67/PLOT!$K$10)</f>
        <v>0.26116013095636975</v>
      </c>
      <c r="T67">
        <f>IF($P$2=1,$J$2,$J$2+L67/PLOT!$K$10)</f>
        <v>19.00949186138526</v>
      </c>
    </row>
    <row r="68" spans="1:20" ht="12.75">
      <c r="A68">
        <f t="shared" si="10"/>
        <v>11.969999999999997</v>
      </c>
      <c r="B68">
        <v>0.1520414730095885</v>
      </c>
      <c r="C68">
        <v>148251847.5907755</v>
      </c>
      <c r="D68">
        <v>-2.197518316591547E-05</v>
      </c>
      <c r="E68">
        <v>0.0036339657633246846</v>
      </c>
      <c r="F68">
        <f t="shared" si="11"/>
        <v>0.45321436289957207</v>
      </c>
      <c r="G68">
        <f t="shared" si="3"/>
        <v>107.40143052402424</v>
      </c>
      <c r="H68">
        <v>64</v>
      </c>
      <c r="I68">
        <f t="shared" si="7"/>
        <v>1.3552814902854955</v>
      </c>
      <c r="J68">
        <f t="shared" si="8"/>
        <v>0.34561648518369625</v>
      </c>
      <c r="K68">
        <f t="shared" si="4"/>
        <v>1.2483634888310937</v>
      </c>
      <c r="L68">
        <f t="shared" si="5"/>
        <v>0.045371753915925565</v>
      </c>
      <c r="R68">
        <f t="shared" si="6"/>
        <v>-1.3552814902854955</v>
      </c>
      <c r="S68">
        <f>IF($P$2=1,0,K68/PLOT!$K$10)</f>
        <v>0.24967269776621875</v>
      </c>
      <c r="T68">
        <f>IF($P$2=1,$J$2,$J$2+L68/PLOT!$K$10)</f>
        <v>19.009074350783184</v>
      </c>
    </row>
    <row r="69" spans="1:20" ht="12.75">
      <c r="A69">
        <f t="shared" si="10"/>
        <v>12.159999999999997</v>
      </c>
      <c r="B69">
        <v>0.2146235067895668</v>
      </c>
      <c r="C69">
        <v>245754089.6323905</v>
      </c>
      <c r="D69">
        <v>5.156381742543948E-07</v>
      </c>
      <c r="E69">
        <v>0.005824169351679784</v>
      </c>
      <c r="F69">
        <f t="shared" si="11"/>
        <v>0.43536488430884673</v>
      </c>
      <c r="G69">
        <f t="shared" si="3"/>
        <v>103.54676615673976</v>
      </c>
      <c r="H69">
        <v>65</v>
      </c>
      <c r="I69">
        <f t="shared" si="7"/>
        <v>1.4505026020569076</v>
      </c>
      <c r="J69">
        <f aca="true" t="shared" si="12" ref="J69:J100">IF(I69&lt;=$G$2,1,BESSELK($H$2/$G$2*I69,0)/BESSELK($H$2,0))</f>
        <v>0.32979281821116607</v>
      </c>
      <c r="K69">
        <f t="shared" si="4"/>
        <v>1.1912085527827452</v>
      </c>
      <c r="L69">
        <f t="shared" si="5"/>
        <v>0.04329445854749542</v>
      </c>
      <c r="R69">
        <f t="shared" si="6"/>
        <v>-1.4505026020569076</v>
      </c>
      <c r="S69">
        <f>IF($P$2=1,0,K69/PLOT!$K$10)</f>
        <v>0.23824171055654902</v>
      </c>
      <c r="T69">
        <f>IF($P$2=1,$J$2,$J$2+L69/PLOT!$K$10)</f>
        <v>19.008658891709498</v>
      </c>
    </row>
    <row r="70" spans="1:20" ht="12.75">
      <c r="A70">
        <f t="shared" si="10"/>
        <v>12.349999999999996</v>
      </c>
      <c r="B70">
        <v>0.2146235067895668</v>
      </c>
      <c r="C70">
        <v>245754089.6323905</v>
      </c>
      <c r="D70">
        <v>5.156381742543948E-07</v>
      </c>
      <c r="E70">
        <v>0.005824169351679784</v>
      </c>
      <c r="F70">
        <f t="shared" si="11"/>
        <v>0.41854043126130774</v>
      </c>
      <c r="G70">
        <f aca="true" t="shared" si="13" ref="G70:G105">(-C70*D70*EXP(B70*A70)+C70*E70*EXP(-B70*A70))/1000</f>
        <v>99.26866364613771</v>
      </c>
      <c r="H70">
        <v>66</v>
      </c>
      <c r="I70">
        <f t="shared" si="7"/>
        <v>1.5528652972111756</v>
      </c>
      <c r="J70">
        <f t="shared" si="12"/>
        <v>0.3140678986013503</v>
      </c>
      <c r="K70">
        <f aca="true" t="shared" si="14" ref="K70:K105">$F$5*J70</f>
        <v>1.1344102912783367</v>
      </c>
      <c r="L70">
        <f aca="true" t="shared" si="15" ref="L70:L105">$F$105*J70</f>
        <v>0.041230126510483175</v>
      </c>
      <c r="R70">
        <f aca="true" t="shared" si="16" ref="R70:R105">-I70</f>
        <v>-1.5528652972111756</v>
      </c>
      <c r="S70">
        <f>IF($P$2=1,0,K70/PLOT!$K$10)</f>
        <v>0.22688205825566735</v>
      </c>
      <c r="T70">
        <f>IF($P$2=1,$J$2,$J$2+L70/PLOT!$K$10)</f>
        <v>19.008246025302096</v>
      </c>
    </row>
    <row r="71" spans="1:20" ht="12.75">
      <c r="A71">
        <f t="shared" si="10"/>
        <v>12.539999999999996</v>
      </c>
      <c r="B71">
        <v>0.2146235067895668</v>
      </c>
      <c r="C71">
        <v>245754089.6323905</v>
      </c>
      <c r="D71">
        <v>5.156381742543948E-07</v>
      </c>
      <c r="E71">
        <v>0.005824169351679784</v>
      </c>
      <c r="F71">
        <f t="shared" si="11"/>
        <v>0.40241205856306195</v>
      </c>
      <c r="G71">
        <f t="shared" si="13"/>
        <v>95.15565621573242</v>
      </c>
      <c r="H71">
        <v>67</v>
      </c>
      <c r="I71">
        <f t="shared" si="7"/>
        <v>1.6629051945020137</v>
      </c>
      <c r="J71">
        <f t="shared" si="12"/>
        <v>0.2984633008935333</v>
      </c>
      <c r="K71">
        <f t="shared" si="14"/>
        <v>1.0780466313505346</v>
      </c>
      <c r="L71">
        <f t="shared" si="15"/>
        <v>0.039181590061824534</v>
      </c>
      <c r="R71">
        <f t="shared" si="16"/>
        <v>-1.6629051945020137</v>
      </c>
      <c r="S71">
        <f>IF($P$2=1,0,K71/PLOT!$K$10)</f>
        <v>0.21560932627010693</v>
      </c>
      <c r="T71">
        <f>IF($P$2=1,$J$2,$J$2+L71/PLOT!$K$10)</f>
        <v>19.007836318012366</v>
      </c>
    </row>
    <row r="72" spans="1:20" ht="12.75">
      <c r="A72">
        <f t="shared" si="10"/>
        <v>12.729999999999995</v>
      </c>
      <c r="B72">
        <v>0.2146235067895668</v>
      </c>
      <c r="C72">
        <v>245754089.6323905</v>
      </c>
      <c r="D72">
        <v>5.156381742543948E-07</v>
      </c>
      <c r="E72">
        <v>0.005824169351679784</v>
      </c>
      <c r="F72">
        <f t="shared" si="11"/>
        <v>0.38695294289558896</v>
      </c>
      <c r="G72">
        <f t="shared" si="13"/>
        <v>91.20090346628174</v>
      </c>
      <c r="H72">
        <v>68</v>
      </c>
      <c r="I72">
        <f aca="true" t="shared" si="17" ref="I72:I105">I71+($G$2/100)*$I$2^(H72-2)</f>
        <v>1.7811980840896646</v>
      </c>
      <c r="J72">
        <f t="shared" si="12"/>
        <v>0.2830016009358513</v>
      </c>
      <c r="K72">
        <f t="shared" si="14"/>
        <v>1.022199116750146</v>
      </c>
      <c r="L72">
        <f t="shared" si="15"/>
        <v>0.037151812908026556</v>
      </c>
      <c r="R72">
        <f t="shared" si="16"/>
        <v>-1.7811980840896646</v>
      </c>
      <c r="S72">
        <f>IF($P$2=1,0,K72/PLOT!$K$10)</f>
        <v>0.20443982335002922</v>
      </c>
      <c r="T72">
        <f>IF($P$2=1,$J$2,$J$2+L72/PLOT!$K$10)</f>
        <v>19.007430362581605</v>
      </c>
    </row>
    <row r="73" spans="1:20" ht="12.75">
      <c r="A73">
        <f t="shared" si="10"/>
        <v>12.919999999999995</v>
      </c>
      <c r="B73">
        <v>0.2146235067895668</v>
      </c>
      <c r="C73">
        <v>245754089.6323905</v>
      </c>
      <c r="D73">
        <v>5.156381742543948E-07</v>
      </c>
      <c r="E73">
        <v>0.005824169351679784</v>
      </c>
      <c r="F73">
        <f t="shared" si="11"/>
        <v>0.3721373739909437</v>
      </c>
      <c r="G73">
        <f t="shared" si="13"/>
        <v>87.39782819408059</v>
      </c>
      <c r="H73">
        <v>69</v>
      </c>
      <c r="I73">
        <f t="shared" si="17"/>
        <v>1.9083629403963895</v>
      </c>
      <c r="J73">
        <f t="shared" si="12"/>
        <v>0.26770639976136384</v>
      </c>
      <c r="K73">
        <f t="shared" si="14"/>
        <v>0.9669529941862639</v>
      </c>
      <c r="L73">
        <f t="shared" si="15"/>
        <v>0.0351438933395645</v>
      </c>
      <c r="R73">
        <f t="shared" si="16"/>
        <v>-1.9083629403963895</v>
      </c>
      <c r="S73">
        <f>IF($P$2=1,0,K73/PLOT!$K$10)</f>
        <v>0.1933905988372528</v>
      </c>
      <c r="T73">
        <f>IF($P$2=1,$J$2,$J$2+L73/PLOT!$K$10)</f>
        <v>19.007028778667912</v>
      </c>
    </row>
    <row r="74" spans="1:20" ht="12.75">
      <c r="A74">
        <f t="shared" si="10"/>
        <v>13.109999999999994</v>
      </c>
      <c r="B74">
        <v>0.2146235067895668</v>
      </c>
      <c r="C74">
        <v>245754089.6323905</v>
      </c>
      <c r="D74">
        <v>5.156381742543948E-07</v>
      </c>
      <c r="E74">
        <v>0.005824169351679784</v>
      </c>
      <c r="F74">
        <f t="shared" si="11"/>
        <v>0.35794071187265614</v>
      </c>
      <c r="G74">
        <f t="shared" si="13"/>
        <v>83.74010545232309</v>
      </c>
      <c r="H74">
        <v>70</v>
      </c>
      <c r="I74">
        <f t="shared" si="17"/>
        <v>2.045065160926119</v>
      </c>
      <c r="J74">
        <f t="shared" si="12"/>
        <v>0.25260233070333776</v>
      </c>
      <c r="K74">
        <f t="shared" si="14"/>
        <v>0.9123972390266062</v>
      </c>
      <c r="L74">
        <f t="shared" si="15"/>
        <v>0.033161065164960306</v>
      </c>
      <c r="R74">
        <f t="shared" si="16"/>
        <v>-2.045065160926119</v>
      </c>
      <c r="S74">
        <f>IF($P$2=1,0,K74/PLOT!$K$10)</f>
        <v>0.18247944780532124</v>
      </c>
      <c r="T74">
        <f>IF($P$2=1,$J$2,$J$2+L74/PLOT!$K$10)</f>
        <v>19.006632213032994</v>
      </c>
    </row>
    <row r="75" spans="1:20" ht="12.75">
      <c r="A75">
        <f t="shared" si="10"/>
        <v>13.299999999999994</v>
      </c>
      <c r="B75">
        <v>0.2146235067895668</v>
      </c>
      <c r="C75">
        <v>245754089.6323905</v>
      </c>
      <c r="D75">
        <v>5.156381742543948E-07</v>
      </c>
      <c r="E75">
        <v>0.005824169351679784</v>
      </c>
      <c r="F75">
        <f t="shared" si="11"/>
        <v>0.3443393458766467</v>
      </c>
      <c r="G75">
        <f t="shared" si="13"/>
        <v>80.22165203199631</v>
      </c>
      <c r="H75">
        <v>71</v>
      </c>
      <c r="I75">
        <f t="shared" si="17"/>
        <v>2.1920200479955776</v>
      </c>
      <c r="J75">
        <f t="shared" si="12"/>
        <v>0.23771504598151197</v>
      </c>
      <c r="K75">
        <f t="shared" si="14"/>
        <v>0.8586245068472299</v>
      </c>
      <c r="L75">
        <f t="shared" si="15"/>
        <v>0.031206695949857654</v>
      </c>
      <c r="R75">
        <f t="shared" si="16"/>
        <v>-2.1920200479955776</v>
      </c>
      <c r="S75">
        <f>IF($P$2=1,0,K75/PLOT!$K$10)</f>
        <v>0.171724901369446</v>
      </c>
      <c r="T75">
        <f>IF($P$2=1,$J$2,$J$2+L75/PLOT!$K$10)</f>
        <v>19.006241339189973</v>
      </c>
    </row>
    <row r="76" spans="1:20" ht="12.75">
      <c r="A76">
        <f t="shared" si="10"/>
        <v>13.489999999999993</v>
      </c>
      <c r="B76">
        <v>0.2146235067895668</v>
      </c>
      <c r="C76">
        <v>245754089.6323905</v>
      </c>
      <c r="D76">
        <v>5.156381742543948E-07</v>
      </c>
      <c r="E76">
        <v>0.005824169351679784</v>
      </c>
      <c r="F76">
        <f t="shared" si="11"/>
        <v>0.331310655384007</v>
      </c>
      <c r="G76">
        <f t="shared" si="13"/>
        <v>76.83661634481186</v>
      </c>
      <c r="H76">
        <v>72</v>
      </c>
      <c r="I76">
        <f t="shared" si="17"/>
        <v>2.349996551595246</v>
      </c>
      <c r="J76">
        <f t="shared" si="12"/>
        <v>0.22307117870897097</v>
      </c>
      <c r="K76">
        <f t="shared" si="14"/>
        <v>0.8057309962017165</v>
      </c>
      <c r="L76">
        <f t="shared" si="15"/>
        <v>0.029284282029369845</v>
      </c>
      <c r="R76">
        <f t="shared" si="16"/>
        <v>-2.349996551595246</v>
      </c>
      <c r="S76">
        <f>IF($P$2=1,0,K76/PLOT!$K$10)</f>
        <v>0.1611461992403433</v>
      </c>
      <c r="T76">
        <f>IF($P$2=1,$J$2,$J$2+L76/PLOT!$K$10)</f>
        <v>19.005856856405874</v>
      </c>
    </row>
    <row r="77" spans="1:20" ht="12.75">
      <c r="A77">
        <f t="shared" si="10"/>
        <v>13.679999999999993</v>
      </c>
      <c r="B77">
        <v>0.2146235067895668</v>
      </c>
      <c r="C77">
        <v>245754089.6323905</v>
      </c>
      <c r="D77">
        <v>5.156381742543948E-07</v>
      </c>
      <c r="E77">
        <v>0.005824169351679784</v>
      </c>
      <c r="F77">
        <f t="shared" si="11"/>
        <v>0.31883297220033685</v>
      </c>
      <c r="G77">
        <f t="shared" si="13"/>
        <v>73.57936869134882</v>
      </c>
      <c r="H77">
        <v>73</v>
      </c>
      <c r="I77">
        <f t="shared" si="17"/>
        <v>2.5198212929648895</v>
      </c>
      <c r="J77">
        <f t="shared" si="12"/>
        <v>0.20869827605208677</v>
      </c>
      <c r="K77">
        <f t="shared" si="14"/>
        <v>0.7538162071955118</v>
      </c>
      <c r="L77">
        <f t="shared" si="15"/>
        <v>0.027397439733467505</v>
      </c>
      <c r="R77">
        <f t="shared" si="16"/>
        <v>-2.5198212929648895</v>
      </c>
      <c r="S77">
        <f>IF($P$2=1,0,K77/PLOT!$K$10)</f>
        <v>0.15076324143910236</v>
      </c>
      <c r="T77">
        <f>IF($P$2=1,$J$2,$J$2+L77/PLOT!$K$10)</f>
        <v>19.005479487946694</v>
      </c>
    </row>
    <row r="78" spans="1:20" ht="12.75">
      <c r="A78">
        <f t="shared" si="10"/>
        <v>13.869999999999992</v>
      </c>
      <c r="B78">
        <v>0.2146235067895668</v>
      </c>
      <c r="C78">
        <v>245754089.6323905</v>
      </c>
      <c r="D78">
        <v>5.156381742543948E-07</v>
      </c>
      <c r="E78">
        <v>0.005824169351679784</v>
      </c>
      <c r="F78">
        <f t="shared" si="11"/>
        <v>0.306885544519072</v>
      </c>
      <c r="G78">
        <f t="shared" si="13"/>
        <v>70.44449189822325</v>
      </c>
      <c r="H78">
        <v>74</v>
      </c>
      <c r="I78">
        <f t="shared" si="17"/>
        <v>2.7023828899372564</v>
      </c>
      <c r="J78">
        <f t="shared" si="12"/>
        <v>0.19462469915627797</v>
      </c>
      <c r="K78">
        <f t="shared" si="14"/>
        <v>0.7029825800187104</v>
      </c>
      <c r="L78">
        <f t="shared" si="15"/>
        <v>0.025549892249457577</v>
      </c>
      <c r="R78">
        <f t="shared" si="16"/>
        <v>-2.7023828899372564</v>
      </c>
      <c r="S78">
        <f>IF($P$2=1,0,K78/PLOT!$K$10)</f>
        <v>0.14059651600374207</v>
      </c>
      <c r="T78">
        <f>IF($P$2=1,$J$2,$J$2+L78/PLOT!$K$10)</f>
        <v>19.00510997844989</v>
      </c>
    </row>
    <row r="79" spans="1:20" ht="12.75">
      <c r="A79">
        <f t="shared" si="10"/>
        <v>14.059999999999992</v>
      </c>
      <c r="B79">
        <v>0.2146235067895668</v>
      </c>
      <c r="C79">
        <v>245754089.6323905</v>
      </c>
      <c r="D79">
        <v>5.156381742543948E-07</v>
      </c>
      <c r="E79">
        <v>0.005824169351679784</v>
      </c>
      <c r="F79">
        <f t="shared" si="11"/>
        <v>0.2954485024088691</v>
      </c>
      <c r="G79">
        <f t="shared" si="13"/>
        <v>67.42677230871239</v>
      </c>
      <c r="H79">
        <v>75</v>
      </c>
      <c r="I79">
        <f t="shared" si="17"/>
        <v>2.8986366066825506</v>
      </c>
      <c r="J79">
        <f t="shared" si="12"/>
        <v>0.18087948546663934</v>
      </c>
      <c r="K79">
        <f t="shared" si="14"/>
        <v>0.6533349976494662</v>
      </c>
      <c r="L79">
        <f t="shared" si="15"/>
        <v>0.023745451547745603</v>
      </c>
      <c r="R79">
        <f t="shared" si="16"/>
        <v>-2.8986366066825506</v>
      </c>
      <c r="S79">
        <f>IF($P$2=1,0,K79/PLOT!$K$10)</f>
        <v>0.13066699952989325</v>
      </c>
      <c r="T79">
        <f>IF($P$2=1,$J$2,$J$2+L79/PLOT!$K$10)</f>
        <v>19.00474909030955</v>
      </c>
    </row>
    <row r="80" spans="1:20" ht="12.75">
      <c r="A80">
        <f t="shared" si="10"/>
        <v>14.249999999999991</v>
      </c>
      <c r="B80">
        <v>0.2146235067895668</v>
      </c>
      <c r="C80">
        <v>245754089.6323905</v>
      </c>
      <c r="D80">
        <v>5.156381742543948E-07</v>
      </c>
      <c r="E80">
        <v>0.005824169351679784</v>
      </c>
      <c r="F80">
        <f t="shared" si="11"/>
        <v>0.2845028247676497</v>
      </c>
      <c r="G80">
        <f t="shared" si="13"/>
        <v>64.52119111185075</v>
      </c>
      <c r="H80">
        <v>76</v>
      </c>
      <c r="I80">
        <f t="shared" si="17"/>
        <v>3.109609352183742</v>
      </c>
      <c r="J80">
        <f t="shared" si="12"/>
        <v>0.16749216926912833</v>
      </c>
      <c r="K80">
        <f t="shared" si="14"/>
        <v>0.6049801376504496</v>
      </c>
      <c r="L80">
        <f t="shared" si="15"/>
        <v>0.021987994822886787</v>
      </c>
      <c r="R80">
        <f t="shared" si="16"/>
        <v>-3.109609352183742</v>
      </c>
      <c r="S80">
        <f>IF($P$2=1,0,K80/PLOT!$K$10)</f>
        <v>0.12099602753008991</v>
      </c>
      <c r="T80">
        <f>IF($P$2=1,$J$2,$J$2+L80/PLOT!$K$10)</f>
        <v>19.004397598964577</v>
      </c>
    </row>
    <row r="81" spans="1:20" ht="12.75">
      <c r="A81">
        <f t="shared" si="10"/>
        <v>14.43999999999999</v>
      </c>
      <c r="B81">
        <v>0.2146235067895668</v>
      </c>
      <c r="C81">
        <v>245754089.6323905</v>
      </c>
      <c r="D81">
        <v>5.156381742543948E-07</v>
      </c>
      <c r="E81">
        <v>0.005824169351679784</v>
      </c>
      <c r="F81">
        <f t="shared" si="11"/>
        <v>0.27403030768834385</v>
      </c>
      <c r="G81">
        <f t="shared" si="13"/>
        <v>61.722915995576344</v>
      </c>
      <c r="H81">
        <v>77</v>
      </c>
      <c r="I81">
        <f t="shared" si="17"/>
        <v>3.3364050535975225</v>
      </c>
      <c r="J81">
        <f t="shared" si="12"/>
        <v>0.1544925567041383</v>
      </c>
      <c r="K81">
        <f t="shared" si="14"/>
        <v>0.5580256595199921</v>
      </c>
      <c r="L81">
        <f t="shared" si="15"/>
        <v>0.020281434957874524</v>
      </c>
      <c r="R81">
        <f t="shared" si="16"/>
        <v>-3.3364050535975225</v>
      </c>
      <c r="S81">
        <f>IF($P$2=1,0,K81/PLOT!$K$10)</f>
        <v>0.11160513190399841</v>
      </c>
      <c r="T81">
        <f>IF($P$2=1,$J$2,$J$2+L81/PLOT!$K$10)</f>
        <v>19.004056286991574</v>
      </c>
    </row>
    <row r="82" spans="1:20" ht="12.75">
      <c r="A82">
        <f t="shared" si="10"/>
        <v>14.62999999999999</v>
      </c>
      <c r="B82">
        <v>0.2146235067895668</v>
      </c>
      <c r="C82">
        <v>245754089.6323905</v>
      </c>
      <c r="D82">
        <v>5.156381742543948E-07</v>
      </c>
      <c r="E82">
        <v>0.005824169351679784</v>
      </c>
      <c r="F82">
        <f t="shared" si="11"/>
        <v>0.2640135341837217</v>
      </c>
      <c r="G82">
        <f t="shared" si="13"/>
        <v>59.02729311004611</v>
      </c>
      <c r="H82">
        <v>78</v>
      </c>
      <c r="I82">
        <f t="shared" si="17"/>
        <v>3.5802104326173367</v>
      </c>
      <c r="J82">
        <f t="shared" si="12"/>
        <v>0.1419104522122119</v>
      </c>
      <c r="K82">
        <f t="shared" si="14"/>
        <v>0.5125792166165806</v>
      </c>
      <c r="L82">
        <f t="shared" si="15"/>
        <v>0.01862968461254963</v>
      </c>
      <c r="R82">
        <f t="shared" si="16"/>
        <v>-3.5802104326173367</v>
      </c>
      <c r="S82">
        <f>IF($P$2=1,0,K82/PLOT!$K$10)</f>
        <v>0.10251584332331612</v>
      </c>
      <c r="T82">
        <f>IF($P$2=1,$J$2,$J$2+L82/PLOT!$K$10)</f>
        <v>19.00372593692251</v>
      </c>
    </row>
    <row r="83" spans="1:20" ht="12.75">
      <c r="A83">
        <f t="shared" si="10"/>
        <v>14.81999999999999</v>
      </c>
      <c r="B83">
        <v>0.2146235067895668</v>
      </c>
      <c r="C83">
        <v>245754089.6323905</v>
      </c>
      <c r="D83">
        <v>5.156381742543948E-07</v>
      </c>
      <c r="E83">
        <v>0.005824169351679784</v>
      </c>
      <c r="F83">
        <f t="shared" si="11"/>
        <v>0.2544358452199617</v>
      </c>
      <c r="G83">
        <f t="shared" si="13"/>
        <v>56.42983932775408</v>
      </c>
      <c r="H83">
        <v>79</v>
      </c>
      <c r="I83">
        <f>I82+($G$2/100)*$I$2^(H83-2)</f>
        <v>3.842301215063637</v>
      </c>
      <c r="J83">
        <f t="shared" si="12"/>
        <v>0.12977533441393077</v>
      </c>
      <c r="K83">
        <f t="shared" si="14"/>
        <v>0.46874728544007205</v>
      </c>
      <c r="L83">
        <f t="shared" si="15"/>
        <v>0.017036613673842124</v>
      </c>
      <c r="R83">
        <f t="shared" si="16"/>
        <v>-3.842301215063637</v>
      </c>
      <c r="S83">
        <f>IF($P$2=1,0,K83/PLOT!$K$10)</f>
        <v>0.09374945708801441</v>
      </c>
      <c r="T83">
        <f>IF($P$2=1,$J$2,$J$2+L83/PLOT!$K$10)</f>
        <v>19.00340732273477</v>
      </c>
    </row>
    <row r="84" spans="1:20" ht="12.75">
      <c r="A84">
        <f t="shared" si="10"/>
        <v>15.00999999999999</v>
      </c>
      <c r="B84">
        <v>0.2146235067895668</v>
      </c>
      <c r="C84">
        <v>245754089.6323905</v>
      </c>
      <c r="D84">
        <v>5.156381742543948E-07</v>
      </c>
      <c r="E84">
        <v>0.005824169351679784</v>
      </c>
      <c r="F84">
        <f t="shared" si="11"/>
        <v>0.24528131201078354</v>
      </c>
      <c r="G84">
        <f t="shared" si="13"/>
        <v>53.92623478758053</v>
      </c>
      <c r="H84">
        <v>80</v>
      </c>
      <c r="I84">
        <f t="shared" si="17"/>
        <v>4.12404880619341</v>
      </c>
      <c r="J84">
        <f t="shared" si="12"/>
        <v>0.11811598085141982</v>
      </c>
      <c r="K84">
        <f t="shared" si="14"/>
        <v>0.42663381020154195</v>
      </c>
      <c r="L84">
        <f t="shared" si="15"/>
        <v>0.015505999992680911</v>
      </c>
      <c r="R84">
        <f t="shared" si="16"/>
        <v>-4.12404880619341</v>
      </c>
      <c r="S84">
        <f>IF($P$2=1,0,K84/PLOT!$K$10)</f>
        <v>0.0853267620403084</v>
      </c>
      <c r="T84">
        <f>IF($P$2=1,$J$2,$J$2+L84/PLOT!$K$10)</f>
        <v>19.003101199998536</v>
      </c>
    </row>
    <row r="85" spans="1:20" ht="12.75">
      <c r="A85">
        <f t="shared" si="10"/>
        <v>15.199999999999989</v>
      </c>
      <c r="B85">
        <v>0.2146235067895668</v>
      </c>
      <c r="C85">
        <v>245754089.6323905</v>
      </c>
      <c r="D85">
        <v>5.156381742543948E-07</v>
      </c>
      <c r="E85">
        <v>0.005824169351679784</v>
      </c>
      <c r="F85">
        <f t="shared" si="11"/>
        <v>0.23653470952606376</v>
      </c>
      <c r="G85">
        <f t="shared" si="13"/>
        <v>51.512315710371404</v>
      </c>
      <c r="H85">
        <v>81</v>
      </c>
      <c r="I85">
        <f t="shared" si="17"/>
        <v>4.426927466657916</v>
      </c>
      <c r="J85">
        <f t="shared" si="12"/>
        <v>0.10696004286671304</v>
      </c>
      <c r="K85">
        <f t="shared" si="14"/>
        <v>0.38633866728794564</v>
      </c>
      <c r="L85">
        <f t="shared" si="15"/>
        <v>0.01404147357498294</v>
      </c>
      <c r="R85">
        <f t="shared" si="16"/>
        <v>-4.426927466657916</v>
      </c>
      <c r="S85">
        <f>IF($P$2=1,0,K85/PLOT!$K$10)</f>
        <v>0.07726773345758912</v>
      </c>
      <c r="T85">
        <f>IF($P$2=1,$J$2,$J$2+L85/PLOT!$K$10)</f>
        <v>19.002808294714995</v>
      </c>
    </row>
    <row r="86" spans="1:20" ht="12.75">
      <c r="A86">
        <f t="shared" si="10"/>
        <v>15.389999999999988</v>
      </c>
      <c r="B86">
        <v>0.2146235067895668</v>
      </c>
      <c r="C86">
        <v>245754089.6323905</v>
      </c>
      <c r="D86">
        <v>5.156381742543948E-07</v>
      </c>
      <c r="E86">
        <v>0.005824169351679784</v>
      </c>
      <c r="F86">
        <f t="shared" si="11"/>
        <v>0.2281814911708789</v>
      </c>
      <c r="G86">
        <f t="shared" si="13"/>
        <v>49.18406747409999</v>
      </c>
      <c r="H86">
        <v>82</v>
      </c>
      <c r="I86">
        <f t="shared" si="17"/>
        <v>4.752522026657259</v>
      </c>
      <c r="J86">
        <f t="shared" si="12"/>
        <v>0.09633357418494969</v>
      </c>
      <c r="K86">
        <f t="shared" si="14"/>
        <v>0.34795596250906424</v>
      </c>
      <c r="L86">
        <f t="shared" si="15"/>
        <v>0.01264645469511673</v>
      </c>
      <c r="R86">
        <f t="shared" si="16"/>
        <v>-4.752522026657259</v>
      </c>
      <c r="S86">
        <f>IF($P$2=1,0,K86/PLOT!$K$10)</f>
        <v>0.06959119250181285</v>
      </c>
      <c r="T86">
        <f>IF($P$2=1,$J$2,$J$2+L86/PLOT!$K$10)</f>
        <v>19.002529290939023</v>
      </c>
    </row>
    <row r="87" spans="1:20" ht="12.75">
      <c r="A87">
        <f t="shared" si="10"/>
        <v>15.579999999999988</v>
      </c>
      <c r="B87">
        <v>0.2146235067895668</v>
      </c>
      <c r="C87">
        <v>245754089.6323905</v>
      </c>
      <c r="D87">
        <v>5.156381742543948E-07</v>
      </c>
      <c r="E87">
        <v>0.005824169351679784</v>
      </c>
      <c r="F87">
        <f t="shared" si="11"/>
        <v>0.22020776459286295</v>
      </c>
      <c r="G87">
        <f t="shared" si="13"/>
        <v>46.93761793709363</v>
      </c>
      <c r="H87">
        <v>83</v>
      </c>
      <c r="I87">
        <f t="shared" si="17"/>
        <v>5.102536178656553</v>
      </c>
      <c r="J87">
        <f t="shared" si="12"/>
        <v>0.0862605195046906</v>
      </c>
      <c r="K87">
        <f t="shared" si="14"/>
        <v>0.3115721838905442</v>
      </c>
      <c r="L87">
        <f t="shared" si="15"/>
        <v>0.011324086759190688</v>
      </c>
      <c r="R87">
        <f t="shared" si="16"/>
        <v>-5.102536178656553</v>
      </c>
      <c r="S87">
        <f>IF($P$2=1,0,K87/PLOT!$K$10)</f>
        <v>0.06231443677810884</v>
      </c>
      <c r="T87">
        <f>IF($P$2=1,$J$2,$J$2+L87/PLOT!$K$10)</f>
        <v>19.00226481735184</v>
      </c>
    </row>
    <row r="88" spans="1:20" ht="12.75">
      <c r="A88">
        <f t="shared" si="10"/>
        <v>15.769999999999987</v>
      </c>
      <c r="B88">
        <v>0.2146235067895668</v>
      </c>
      <c r="C88">
        <v>245754089.6323905</v>
      </c>
      <c r="D88">
        <v>5.156381742543948E-07</v>
      </c>
      <c r="E88">
        <v>0.005824169351679784</v>
      </c>
      <c r="F88">
        <f t="shared" si="11"/>
        <v>0.2126002685776457</v>
      </c>
      <c r="G88">
        <f t="shared" si="13"/>
        <v>44.76923099822188</v>
      </c>
      <c r="H88">
        <v>84</v>
      </c>
      <c r="I88">
        <f t="shared" si="17"/>
        <v>5.478801392055795</v>
      </c>
      <c r="J88">
        <f t="shared" si="12"/>
        <v>0.07676217253388085</v>
      </c>
      <c r="K88">
        <f t="shared" si="14"/>
        <v>0.2772642441048998</v>
      </c>
      <c r="L88">
        <f t="shared" si="15"/>
        <v>0.010077165157234686</v>
      </c>
      <c r="R88">
        <f t="shared" si="16"/>
        <v>-5.478801392055795</v>
      </c>
      <c r="S88">
        <f>IF($P$2=1,0,K88/PLOT!$K$10)</f>
        <v>0.055452848820979964</v>
      </c>
      <c r="T88">
        <f>IF($P$2=1,$J$2,$J$2+L88/PLOT!$K$10)</f>
        <v>19.002015433031445</v>
      </c>
    </row>
    <row r="89" spans="1:20" ht="12.75">
      <c r="A89">
        <f t="shared" si="10"/>
        <v>15.959999999999987</v>
      </c>
      <c r="B89">
        <v>0.2146235067895668</v>
      </c>
      <c r="C89">
        <v>245754089.6323905</v>
      </c>
      <c r="D89">
        <v>5.156381742543948E-07</v>
      </c>
      <c r="E89">
        <v>0.005824169351679784</v>
      </c>
      <c r="F89">
        <f t="shared" si="11"/>
        <v>0.20534635099394433</v>
      </c>
      <c r="G89">
        <f t="shared" si="13"/>
        <v>42.67530038333516</v>
      </c>
      <c r="H89">
        <v>85</v>
      </c>
      <c r="I89">
        <f t="shared" si="17"/>
        <v>5.883286496459979</v>
      </c>
      <c r="J89">
        <f t="shared" si="12"/>
        <v>0.06785661636091385</v>
      </c>
      <c r="K89">
        <f t="shared" si="14"/>
        <v>0.24509745909706823</v>
      </c>
      <c r="L89">
        <f t="shared" si="15"/>
        <v>0.008908063796373525</v>
      </c>
      <c r="R89">
        <f t="shared" si="16"/>
        <v>-5.883286496459979</v>
      </c>
      <c r="S89">
        <f>IF($P$2=1,0,K89/PLOT!$K$10)</f>
        <v>0.049019491819413646</v>
      </c>
      <c r="T89">
        <f>IF($P$2=1,$J$2,$J$2+L89/PLOT!$K$10)</f>
        <v>19.001781612759274</v>
      </c>
    </row>
    <row r="90" spans="1:20" ht="12.75">
      <c r="A90">
        <f t="shared" si="10"/>
        <v>16.149999999999988</v>
      </c>
      <c r="B90">
        <v>0.2146235067895668</v>
      </c>
      <c r="C90">
        <v>245754089.6323905</v>
      </c>
      <c r="D90">
        <v>5.156381742543948E-07</v>
      </c>
      <c r="E90">
        <v>0.005824169351679784</v>
      </c>
      <c r="F90">
        <f t="shared" si="11"/>
        <v>0.1984339477516296</v>
      </c>
      <c r="G90">
        <f t="shared" si="13"/>
        <v>40.65234364762063</v>
      </c>
      <c r="H90">
        <v>86</v>
      </c>
      <c r="I90">
        <f t="shared" si="17"/>
        <v>6.318107983694477</v>
      </c>
      <c r="J90">
        <f t="shared" si="12"/>
        <v>0.05955816267142931</v>
      </c>
      <c r="K90">
        <f t="shared" si="14"/>
        <v>0.2151235225407663</v>
      </c>
      <c r="L90">
        <f t="shared" si="15"/>
        <v>0.007818661482470941</v>
      </c>
      <c r="R90">
        <f t="shared" si="16"/>
        <v>-6.318107983694477</v>
      </c>
      <c r="S90">
        <f>IF($P$2=1,0,K90/PLOT!$K$10)</f>
        <v>0.04302470450815326</v>
      </c>
      <c r="T90">
        <f>IF($P$2=1,$J$2,$J$2+L90/PLOT!$K$10)</f>
        <v>19.001563732296493</v>
      </c>
    </row>
    <row r="91" spans="1:20" ht="12.75">
      <c r="A91">
        <f t="shared" si="10"/>
        <v>16.33999999999999</v>
      </c>
      <c r="B91">
        <v>0.2146235067895668</v>
      </c>
      <c r="C91">
        <v>245754089.6323905</v>
      </c>
      <c r="D91">
        <v>5.156381742543948E-07</v>
      </c>
      <c r="E91">
        <v>0.005824169351679784</v>
      </c>
      <c r="F91">
        <f t="shared" si="11"/>
        <v>0.19185156273777207</v>
      </c>
      <c r="G91">
        <f t="shared" si="13"/>
        <v>38.696996383900334</v>
      </c>
      <c r="H91">
        <v>87</v>
      </c>
      <c r="I91">
        <f t="shared" si="17"/>
        <v>6.785541082471563</v>
      </c>
      <c r="J91">
        <f t="shared" si="12"/>
        <v>0.05187680990893259</v>
      </c>
      <c r="K91">
        <f t="shared" si="14"/>
        <v>0.18737854871975163</v>
      </c>
      <c r="L91">
        <f t="shared" si="15"/>
        <v>0.006810270788675827</v>
      </c>
      <c r="R91">
        <f t="shared" si="16"/>
        <v>-6.785541082471563</v>
      </c>
      <c r="S91">
        <f>IF($P$2=1,0,K91/PLOT!$K$10)</f>
        <v>0.03747570974395033</v>
      </c>
      <c r="T91">
        <f>IF($P$2=1,$J$2,$J$2+L91/PLOT!$K$10)</f>
        <v>19.001362054157735</v>
      </c>
    </row>
    <row r="92" spans="1:20" ht="12.75">
      <c r="A92">
        <f t="shared" si="10"/>
        <v>16.52999999999999</v>
      </c>
      <c r="B92">
        <v>0.2146235067895668</v>
      </c>
      <c r="C92">
        <v>245754089.6323905</v>
      </c>
      <c r="D92">
        <v>5.156381742543948E-07</v>
      </c>
      <c r="E92">
        <v>0.005824169351679784</v>
      </c>
      <c r="F92">
        <f t="shared" si="11"/>
        <v>0.18558824869729806</v>
      </c>
      <c r="G92">
        <f t="shared" si="13"/>
        <v>36.80600662723932</v>
      </c>
      <c r="H92">
        <v>88</v>
      </c>
      <c r="I92">
        <f t="shared" si="17"/>
        <v>7.2880316636569304</v>
      </c>
      <c r="J92">
        <f t="shared" si="12"/>
        <v>0.0448177437882675</v>
      </c>
      <c r="K92">
        <f t="shared" si="14"/>
        <v>0.16188126838719138</v>
      </c>
      <c r="L92">
        <f t="shared" si="15"/>
        <v>0.00588357248395569</v>
      </c>
      <c r="R92">
        <f t="shared" si="16"/>
        <v>-7.2880316636569304</v>
      </c>
      <c r="S92">
        <f>IF($P$2=1,0,K92/PLOT!$K$10)</f>
        <v>0.03237625367743828</v>
      </c>
      <c r="T92">
        <f>IF($P$2=1,$J$2,$J$2+L92/PLOT!$K$10)</f>
        <v>19.00117671449679</v>
      </c>
    </row>
    <row r="93" spans="1:20" ht="12.75">
      <c r="A93">
        <f t="shared" si="10"/>
        <v>16.71999999999999</v>
      </c>
      <c r="B93">
        <v>0.2146235067895668</v>
      </c>
      <c r="C93">
        <v>245754089.6323905</v>
      </c>
      <c r="D93">
        <v>5.156381742543948E-07</v>
      </c>
      <c r="E93">
        <v>0.005824169351679784</v>
      </c>
      <c r="F93">
        <f t="shared" si="11"/>
        <v>0.17963358902645965</v>
      </c>
      <c r="G93">
        <f t="shared" si="13"/>
        <v>34.97622944655807</v>
      </c>
      <c r="H93">
        <v>89</v>
      </c>
      <c r="I93">
        <f t="shared" si="17"/>
        <v>7.8282090384312</v>
      </c>
      <c r="J93">
        <f t="shared" si="12"/>
        <v>0.038380906408861215</v>
      </c>
      <c r="K93">
        <f t="shared" si="14"/>
        <v>0.13863147240676205</v>
      </c>
      <c r="L93">
        <f t="shared" si="15"/>
        <v>0.005038558967253709</v>
      </c>
      <c r="R93">
        <f t="shared" si="16"/>
        <v>-7.8282090384312</v>
      </c>
      <c r="S93">
        <f>IF($P$2=1,0,K93/PLOT!$K$10)</f>
        <v>0.027726294481352408</v>
      </c>
      <c r="T93">
        <f>IF($P$2=1,$J$2,$J$2+L93/PLOT!$K$10)</f>
        <v>19.001007711793452</v>
      </c>
    </row>
    <row r="94" spans="1:20" ht="12.75">
      <c r="A94">
        <f t="shared" si="10"/>
        <v>16.909999999999993</v>
      </c>
      <c r="B94">
        <v>0.2146235067895668</v>
      </c>
      <c r="C94">
        <v>245754089.6323905</v>
      </c>
      <c r="D94">
        <v>5.156381742543948E-07</v>
      </c>
      <c r="E94">
        <v>0.005824169351679784</v>
      </c>
      <c r="F94">
        <f t="shared" si="11"/>
        <v>0.1739776804488369</v>
      </c>
      <c r="G94">
        <f t="shared" si="13"/>
        <v>33.2046217142542</v>
      </c>
      <c r="H94">
        <v>90</v>
      </c>
      <c r="I94">
        <f t="shared" si="17"/>
        <v>8.40889971631354</v>
      </c>
      <c r="J94">
        <f t="shared" si="12"/>
        <v>0.03256066268763981</v>
      </c>
      <c r="K94">
        <f t="shared" si="14"/>
        <v>0.11760880691148211</v>
      </c>
      <c r="L94">
        <f t="shared" si="15"/>
        <v>0.004274490477553017</v>
      </c>
      <c r="R94">
        <f t="shared" si="16"/>
        <v>-8.40889971631354</v>
      </c>
      <c r="S94">
        <f>IF($P$2=1,0,K94/PLOT!$K$10)</f>
        <v>0.023521761382296422</v>
      </c>
      <c r="T94">
        <f>IF($P$2=1,$J$2,$J$2+L94/PLOT!$K$10)</f>
        <v>19.00085489809551</v>
      </c>
    </row>
    <row r="95" spans="1:20" ht="12.75">
      <c r="A95">
        <f t="shared" si="10"/>
        <v>17.099999999999994</v>
      </c>
      <c r="B95">
        <v>0.2146235067895668</v>
      </c>
      <c r="C95">
        <v>245754089.6323905</v>
      </c>
      <c r="D95">
        <v>5.156381742543948E-07</v>
      </c>
      <c r="E95">
        <v>0.005824169351679784</v>
      </c>
      <c r="F95">
        <f t="shared" si="11"/>
        <v>0.16861111654506347</v>
      </c>
      <c r="G95">
        <f t="shared" si="13"/>
        <v>31.48823704513532</v>
      </c>
      <c r="H95">
        <v>91</v>
      </c>
      <c r="I95">
        <f>I94+($G$2/100)*$I$2^(H95-2)</f>
        <v>9.033142195037055</v>
      </c>
      <c r="J95">
        <f t="shared" si="12"/>
        <v>0.027345590520895482</v>
      </c>
      <c r="K95">
        <f t="shared" si="14"/>
        <v>0.0987720153703534</v>
      </c>
      <c r="L95">
        <f t="shared" si="15"/>
        <v>0.003589867546799139</v>
      </c>
      <c r="R95">
        <f t="shared" si="16"/>
        <v>-9.033142195037055</v>
      </c>
      <c r="S95">
        <f>IF($P$2=1,0,K95/PLOT!$K$10)</f>
        <v>0.01975440307407068</v>
      </c>
      <c r="T95">
        <f>IF($P$2=1,$J$2,$J$2+L95/PLOT!$K$10)</f>
        <v>19.00071797350936</v>
      </c>
    </row>
    <row r="96" spans="1:20" ht="12.75">
      <c r="A96">
        <f t="shared" si="10"/>
        <v>17.289999999999996</v>
      </c>
      <c r="B96">
        <v>0.2146235067895668</v>
      </c>
      <c r="C96">
        <v>245754089.6323905</v>
      </c>
      <c r="D96">
        <v>5.156381742543948E-07</v>
      </c>
      <c r="E96">
        <v>0.005824169351679784</v>
      </c>
      <c r="F96">
        <f t="shared" si="11"/>
        <v>0.16352497210888045</v>
      </c>
      <c r="G96">
        <f t="shared" si="13"/>
        <v>29.82422089624503</v>
      </c>
      <c r="H96">
        <v>92</v>
      </c>
      <c r="I96">
        <f t="shared" si="17"/>
        <v>9.704202859664834</v>
      </c>
      <c r="J96">
        <f t="shared" si="12"/>
        <v>0.02271843028975625</v>
      </c>
      <c r="K96">
        <f t="shared" si="14"/>
        <v>0.08205875620259323</v>
      </c>
      <c r="L96">
        <f t="shared" si="15"/>
        <v>0.002982424371091761</v>
      </c>
      <c r="R96">
        <f t="shared" si="16"/>
        <v>-9.704202859664834</v>
      </c>
      <c r="S96">
        <f>IF($P$2=1,0,K96/PLOT!$K$10)</f>
        <v>0.016411751240518645</v>
      </c>
      <c r="T96">
        <f>IF($P$2=1,$J$2,$J$2+L96/PLOT!$K$10)</f>
        <v>19.00059648487422</v>
      </c>
    </row>
    <row r="97" spans="1:20" ht="12.75">
      <c r="A97">
        <f t="shared" si="10"/>
        <v>17.479999999999997</v>
      </c>
      <c r="B97">
        <v>0.2146235067895668</v>
      </c>
      <c r="C97">
        <v>245754089.6323905</v>
      </c>
      <c r="D97">
        <v>5.156381742543948E-07</v>
      </c>
      <c r="E97">
        <v>0.005824169351679784</v>
      </c>
      <c r="F97">
        <f t="shared" si="11"/>
        <v>0.15871078830350357</v>
      </c>
      <c r="G97">
        <f t="shared" si="13"/>
        <v>28.209805819433473</v>
      </c>
      <c r="H97">
        <v>93</v>
      </c>
      <c r="I97">
        <f t="shared" si="17"/>
        <v>10.425593074139696</v>
      </c>
      <c r="J97">
        <f t="shared" si="12"/>
        <v>0.0186561838006704</v>
      </c>
      <c r="K97">
        <f t="shared" si="14"/>
        <v>0.06738596014973211</v>
      </c>
      <c r="L97">
        <f t="shared" si="15"/>
        <v>0.0024491417993687315</v>
      </c>
      <c r="R97">
        <f t="shared" si="16"/>
        <v>-10.425593074139696</v>
      </c>
      <c r="S97">
        <f>IF($P$2=1,0,K97/PLOT!$K$10)</f>
        <v>0.013477192029946423</v>
      </c>
      <c r="T97">
        <f>IF($P$2=1,$J$2,$J$2+L97/PLOT!$K$10)</f>
        <v>19.000489828359875</v>
      </c>
    </row>
    <row r="98" spans="1:20" ht="12.75">
      <c r="A98">
        <f t="shared" si="10"/>
        <v>17.669999999999998</v>
      </c>
      <c r="B98">
        <v>0.2146235067895668</v>
      </c>
      <c r="C98">
        <v>245754089.6323905</v>
      </c>
      <c r="D98">
        <v>5.156381742543948E-07</v>
      </c>
      <c r="E98">
        <v>0.005824169351679784</v>
      </c>
      <c r="F98">
        <f t="shared" si="11"/>
        <v>0.1541605585936151</v>
      </c>
      <c r="G98">
        <f t="shared" si="13"/>
        <v>26.642306858776127</v>
      </c>
      <c r="H98">
        <v>94</v>
      </c>
      <c r="I98">
        <f t="shared" si="17"/>
        <v>11.201087554700173</v>
      </c>
      <c r="J98">
        <f t="shared" si="12"/>
        <v>0.015130429836773424</v>
      </c>
      <c r="K98">
        <f t="shared" si="14"/>
        <v>0.054650970044178786</v>
      </c>
      <c r="L98">
        <f t="shared" si="15"/>
        <v>0.001986288758278957</v>
      </c>
      <c r="R98">
        <f t="shared" si="16"/>
        <v>-11.201087554700173</v>
      </c>
      <c r="S98">
        <f>IF($P$2=1,0,K98/PLOT!$K$10)</f>
        <v>0.010930194008835757</v>
      </c>
      <c r="T98">
        <f>IF($P$2=1,$J$2,$J$2+L98/PLOT!$K$10)</f>
        <v>19.000397257751654</v>
      </c>
    </row>
    <row r="99" spans="1:20" ht="12.75">
      <c r="A99">
        <f aca="true" t="shared" si="18" ref="A99:A105">A98+$C$2</f>
        <v>17.86</v>
      </c>
      <c r="B99">
        <v>0.2146235067895668</v>
      </c>
      <c r="C99">
        <v>245754089.6323905</v>
      </c>
      <c r="D99">
        <v>5.156381742543948E-07</v>
      </c>
      <c r="E99">
        <v>0.005824169351679784</v>
      </c>
      <c r="F99">
        <f t="shared" si="11"/>
        <v>0.14986671542958474</v>
      </c>
      <c r="G99">
        <f t="shared" si="13"/>
        <v>25.11911708518664</v>
      </c>
      <c r="H99">
        <v>95</v>
      </c>
      <c r="I99">
        <f t="shared" si="17"/>
        <v>12.034744121302685</v>
      </c>
      <c r="J99">
        <f t="shared" si="12"/>
        <v>0.012107826826240523</v>
      </c>
      <c r="K99">
        <f t="shared" si="14"/>
        <v>0.043733356442574416</v>
      </c>
      <c r="L99">
        <f t="shared" si="15"/>
        <v>0.0015894882413518094</v>
      </c>
      <c r="R99">
        <f t="shared" si="16"/>
        <v>-12.034744121302685</v>
      </c>
      <c r="S99">
        <f>IF($P$2=1,0,K99/PLOT!$K$10)</f>
        <v>0.008746671288514883</v>
      </c>
      <c r="T99">
        <f>IF($P$2=1,$J$2,$J$2+L99/PLOT!$K$10)</f>
        <v>19.00031789764827</v>
      </c>
    </row>
    <row r="100" spans="1:20" ht="12.75">
      <c r="A100">
        <f t="shared" si="18"/>
        <v>18.05</v>
      </c>
      <c r="B100">
        <v>0.2146235067895668</v>
      </c>
      <c r="C100">
        <v>245754089.6323905</v>
      </c>
      <c r="D100">
        <v>5.156381742543948E-07</v>
      </c>
      <c r="E100">
        <v>0.005824169351679784</v>
      </c>
      <c r="F100">
        <f aca="true" t="shared" si="19" ref="F100:F105">(D100*EXP(B100*A100)+E100*EXP(-B100*A100))*1000</f>
        <v>0.14582211766177391</v>
      </c>
      <c r="G100">
        <f t="shared" si="13"/>
        <v>23.637703260797338</v>
      </c>
      <c r="H100">
        <v>96</v>
      </c>
      <c r="I100">
        <f t="shared" si="17"/>
        <v>12.930924930400387</v>
      </c>
      <c r="J100">
        <f t="shared" si="12"/>
        <v>0.009550806294662487</v>
      </c>
      <c r="K100">
        <f t="shared" si="14"/>
        <v>0.034497422369241984</v>
      </c>
      <c r="L100">
        <f t="shared" si="15"/>
        <v>0.0012538083438635148</v>
      </c>
      <c r="R100">
        <f t="shared" si="16"/>
        <v>-12.930924930400387</v>
      </c>
      <c r="S100">
        <f>IF($P$2=1,0,K100/PLOT!$K$10)</f>
        <v>0.006899484473848397</v>
      </c>
      <c r="T100">
        <f>IF($P$2=1,$J$2,$J$2+L100/PLOT!$K$10)</f>
        <v>19.000250761668774</v>
      </c>
    </row>
    <row r="101" spans="1:20" ht="12.75">
      <c r="A101">
        <f t="shared" si="18"/>
        <v>18.240000000000002</v>
      </c>
      <c r="B101">
        <v>0.2146235067895668</v>
      </c>
      <c r="C101">
        <v>245754089.6323905</v>
      </c>
      <c r="D101">
        <v>5.156381742543948E-07</v>
      </c>
      <c r="E101">
        <v>0.005824169351679784</v>
      </c>
      <c r="F101">
        <f t="shared" si="19"/>
        <v>0.1420200386639916</v>
      </c>
      <c r="G101">
        <f t="shared" si="13"/>
        <v>22.195601625896355</v>
      </c>
      <c r="H101">
        <v>97</v>
      </c>
      <c r="I101">
        <f t="shared" si="17"/>
        <v>13.894319300180415</v>
      </c>
      <c r="J101">
        <f>IF(I101&lt;=$G$2,1,BESSELK($H$2/$G$2*I101,0)/BESSELK($H$2,0))</f>
        <v>0.007418444151146391</v>
      </c>
      <c r="K101">
        <f t="shared" si="14"/>
        <v>0.02679535039337468</v>
      </c>
      <c r="L101">
        <f t="shared" si="15"/>
        <v>0.0009738766433144932</v>
      </c>
      <c r="R101">
        <f t="shared" si="16"/>
        <v>-13.894319300180415</v>
      </c>
      <c r="S101">
        <f>IF($P$2=1,0,K101/PLOT!$K$10)</f>
        <v>0.005359070078674936</v>
      </c>
      <c r="T101">
        <f>IF($P$2=1,$J$2,$J$2+L101/PLOT!$K$10)</f>
        <v>19.000194775328662</v>
      </c>
    </row>
    <row r="102" spans="1:20" ht="12.75">
      <c r="A102">
        <f t="shared" si="18"/>
        <v>18.430000000000003</v>
      </c>
      <c r="B102">
        <v>0.2146235067895668</v>
      </c>
      <c r="C102">
        <v>245754089.6323905</v>
      </c>
      <c r="D102">
        <v>5.156381742543948E-07</v>
      </c>
      <c r="E102">
        <v>0.005824169351679784</v>
      </c>
      <c r="F102">
        <f t="shared" si="19"/>
        <v>0.13845415514634946</v>
      </c>
      <c r="G102">
        <f t="shared" si="13"/>
        <v>20.790413801414967</v>
      </c>
      <c r="H102">
        <v>98</v>
      </c>
      <c r="I102">
        <f t="shared" si="17"/>
        <v>14.929968247693946</v>
      </c>
      <c r="J102">
        <f>IF(I102&lt;=$G$2,1,BESSELK($H$2/$G$2*I102,0)/BESSELK($H$2,0))</f>
        <v>0.0056674780698903636</v>
      </c>
      <c r="K102">
        <f t="shared" si="14"/>
        <v>0.020470877401700394</v>
      </c>
      <c r="L102">
        <f t="shared" si="15"/>
        <v>0.0007440137589915534</v>
      </c>
      <c r="R102">
        <f t="shared" si="16"/>
        <v>-14.929968247693946</v>
      </c>
      <c r="S102">
        <f>IF($P$2=1,0,K102/PLOT!$K$10)</f>
        <v>0.004094175480340079</v>
      </c>
      <c r="T102">
        <f>IF($P$2=1,$J$2,$J$2+L102/PLOT!$K$10)</f>
        <v>19.0001488027518</v>
      </c>
    </row>
    <row r="103" spans="1:20" ht="12.75">
      <c r="A103">
        <f t="shared" si="18"/>
        <v>18.620000000000005</v>
      </c>
      <c r="B103">
        <v>0.2146235067895668</v>
      </c>
      <c r="C103">
        <v>245754089.6323905</v>
      </c>
      <c r="D103">
        <v>5.156381742543948E-07</v>
      </c>
      <c r="E103">
        <v>0.005824169351679784</v>
      </c>
      <c r="F103">
        <f t="shared" si="19"/>
        <v>0.13511853663891174</v>
      </c>
      <c r="G103">
        <f t="shared" si="13"/>
        <v>19.41980280015047</v>
      </c>
      <c r="H103">
        <v>99</v>
      </c>
      <c r="I103">
        <f t="shared" si="17"/>
        <v>16.04329086627099</v>
      </c>
      <c r="J103">
        <f>IF(I103&lt;=$G$2,1,BESSELK($H$2/$G$2*I103,0)/BESSELK($H$2,0))</f>
        <v>0.004253426676093842</v>
      </c>
      <c r="K103">
        <f t="shared" si="14"/>
        <v>0.01536333708744698</v>
      </c>
      <c r="L103">
        <f t="shared" si="15"/>
        <v>0.0005583802761740102</v>
      </c>
      <c r="R103">
        <f t="shared" si="16"/>
        <v>-16.04329086627099</v>
      </c>
      <c r="S103">
        <f>IF($P$2=1,0,K103/PLOT!$K$10)</f>
        <v>0.0030726674174893958</v>
      </c>
      <c r="T103">
        <f>IF($P$2=1,$J$2,$J$2+L103/PLOT!$K$10)</f>
        <v>19.000111676055234</v>
      </c>
    </row>
    <row r="104" spans="1:20" ht="12.75">
      <c r="A104">
        <f t="shared" si="18"/>
        <v>18.810000000000006</v>
      </c>
      <c r="B104">
        <v>0.2146235067895668</v>
      </c>
      <c r="C104">
        <v>245754089.6323905</v>
      </c>
      <c r="D104">
        <v>5.156381742543948E-07</v>
      </c>
      <c r="E104">
        <v>0.005824169351679784</v>
      </c>
      <c r="F104">
        <f t="shared" si="19"/>
        <v>0.13200763562864898</v>
      </c>
      <c r="G104">
        <f t="shared" si="13"/>
        <v>18.08148914009047</v>
      </c>
      <c r="H104">
        <v>100</v>
      </c>
      <c r="I104">
        <f t="shared" si="17"/>
        <v>17.240112681241314</v>
      </c>
      <c r="J104">
        <f>IF(I104&lt;=$G$2,1,BESSELK($H$2/$G$2*I104,0)/BESSELK($H$2,0))</f>
        <v>0.003131755132861403</v>
      </c>
      <c r="K104">
        <f t="shared" si="14"/>
        <v>0.01131187003925926</v>
      </c>
      <c r="L104">
        <f t="shared" si="15"/>
        <v>0.00041112976175775105</v>
      </c>
      <c r="R104">
        <f t="shared" si="16"/>
        <v>-17.240112681241314</v>
      </c>
      <c r="S104">
        <f>IF($P$2=1,0,K104/PLOT!$K$10)</f>
        <v>0.002262374007851852</v>
      </c>
      <c r="T104">
        <f>IF($P$2=1,$J$2,$J$2+L104/PLOT!$K$10)</f>
        <v>19.00008222595235</v>
      </c>
    </row>
    <row r="105" spans="1:20" ht="12.75">
      <c r="A105">
        <f t="shared" si="18"/>
        <v>19.000000000000007</v>
      </c>
      <c r="B105">
        <v>0.4198800697243515</v>
      </c>
      <c r="C105">
        <v>125618261.80368042</v>
      </c>
      <c r="D105">
        <v>-6.748273806092595E-10</v>
      </c>
      <c r="E105">
        <v>0.38844672476337483</v>
      </c>
      <c r="F105">
        <f t="shared" si="19"/>
        <v>0.13127774820061125</v>
      </c>
      <c r="G105">
        <f t="shared" si="13"/>
        <v>16.98514294704582</v>
      </c>
      <c r="H105">
        <v>101</v>
      </c>
      <c r="I105">
        <f t="shared" si="17"/>
        <v>18.52669613233441</v>
      </c>
      <c r="J105">
        <f>IF(I105&lt;=$G$2,1,BESSELK($H$2/$G$2*I105,0)/BESSELK($H$2,0))</f>
        <v>0.002259023948686672</v>
      </c>
      <c r="K105">
        <f t="shared" si="14"/>
        <v>0.008159573223009326</v>
      </c>
      <c r="L105">
        <f t="shared" si="15"/>
        <v>0.0002965595771148395</v>
      </c>
      <c r="R105">
        <f t="shared" si="16"/>
        <v>-18.52669613233441</v>
      </c>
      <c r="S105">
        <f>IF($P$2=1,0,K105/PLOT!$K$10)</f>
        <v>0.0016319146446018653</v>
      </c>
      <c r="T105">
        <f>IF($P$2=1,$J$2,$J$2+L105/PLOT!$K$10)</f>
        <v>19.00005931191542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Hoyoung Seo</dc:creator>
  <cp:keywords/>
  <dc:description/>
  <cp:lastModifiedBy>Monica</cp:lastModifiedBy>
  <dcterms:created xsi:type="dcterms:W3CDTF">2007-11-05T22:02:58Z</dcterms:created>
  <dcterms:modified xsi:type="dcterms:W3CDTF">2019-07-31T19:28:44Z</dcterms:modified>
  <cp:category/>
  <cp:version/>
  <cp:contentType/>
  <cp:contentStatus/>
</cp:coreProperties>
</file>