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40009_{64E45394-3D91-4C48-951E-2BE6E10F8E33}" xr6:coauthVersionLast="46" xr6:coauthVersionMax="46" xr10:uidLastSave="{00000000-0000-0000-0000-000000000000}"/>
  <bookViews>
    <workbookView xWindow="-120" yWindow="-120" windowWidth="29040" windowHeight="15840"/>
  </bookViews>
  <sheets>
    <sheet name="ReadMe-Orientation" sheetId="2" r:id="rId1"/>
    <sheet name="HAYSTOR" sheetId="1" r:id="rId2"/>
  </sheets>
  <definedNames>
    <definedName name="_Key1" localSheetId="1" hidden="1">HAYSTOR!$D$1</definedName>
    <definedName name="_Key2" localSheetId="1" hidden="1">HAYSTOR!$A$61</definedName>
    <definedName name="_Order1" localSheetId="1" hidden="1">0</definedName>
    <definedName name="_Order2" localSheetId="1" hidden="1">0</definedName>
    <definedName name="_Sort" localSheetId="1" hidden="1">HAYSTOR!$A$61:$D$65</definedName>
    <definedName name="_xlnm.Print_Area" localSheetId="1">HAYSTOR!$A$1:$I$77</definedName>
    <definedName name="Print_Area_MI">HAYSTOR!$F$1:$I$59</definedName>
  </definedName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C68" i="1"/>
  <c r="C69" i="1"/>
  <c r="C72" i="1"/>
  <c r="C73" i="1"/>
  <c r="C76" i="1"/>
  <c r="C77" i="1"/>
</calcChain>
</file>

<file path=xl/sharedStrings.xml><?xml version="1.0" encoding="utf-8"?>
<sst xmlns="http://schemas.openxmlformats.org/spreadsheetml/2006/main" count="358" uniqueCount="193">
  <si>
    <t>PSU HAY STORAGE EVALUATOR</t>
  </si>
  <si>
    <t>D.R. BUCKMASTER 1/93</t>
  </si>
  <si>
    <t>INTERMEDIATE CALCULATION SECTION</t>
  </si>
  <si>
    <t>AG &amp; BIOL ENGINEERING DEPT.</t>
  </si>
  <si>
    <t>GENERAL ... INTERMEDIATE CALCULATIONS</t>
  </si>
  <si>
    <t>GENERAL ... INPUTS</t>
  </si>
  <si>
    <t>W'</t>
  </si>
  <si>
    <t>weight to use in evaluation</t>
  </si>
  <si>
    <t>lb</t>
  </si>
  <si>
    <t>D</t>
  </si>
  <si>
    <t>bale diameter</t>
  </si>
  <si>
    <t>ft</t>
  </si>
  <si>
    <t>Vo</t>
  </si>
  <si>
    <t>value of hay if stored outside</t>
  </si>
  <si>
    <t>$/ton</t>
  </si>
  <si>
    <t>l</t>
  </si>
  <si>
    <t>bale length</t>
  </si>
  <si>
    <t>f</t>
  </si>
  <si>
    <t>fraction of ann. prod. stored at one time</t>
  </si>
  <si>
    <t>W</t>
  </si>
  <si>
    <t>average bale weight (zero if unknown)</t>
  </si>
  <si>
    <t>d</t>
  </si>
  <si>
    <t>average bale density</t>
  </si>
  <si>
    <t>lb/cu. ft.</t>
  </si>
  <si>
    <t>Lo</t>
  </si>
  <si>
    <t>loss during outside storage</t>
  </si>
  <si>
    <t>%</t>
  </si>
  <si>
    <t>Sv</t>
  </si>
  <si>
    <t>vertical stacking space</t>
  </si>
  <si>
    <t>sq ft/cu ft</t>
  </si>
  <si>
    <t>Vh</t>
  </si>
  <si>
    <t>hay value at harvest (into storage)</t>
  </si>
  <si>
    <t>Sh</t>
  </si>
  <si>
    <t>horizontal stacking space</t>
  </si>
  <si>
    <t>A</t>
  </si>
  <si>
    <t>annual hay production</t>
  </si>
  <si>
    <t>tons/year</t>
  </si>
  <si>
    <t>Acs</t>
  </si>
  <si>
    <t>cross sectional area per unit stored 1 high</t>
  </si>
  <si>
    <t>sq. ft./ton</t>
  </si>
  <si>
    <t>t</t>
  </si>
  <si>
    <t>days between first and last harvest</t>
  </si>
  <si>
    <t>days</t>
  </si>
  <si>
    <t>n</t>
  </si>
  <si>
    <t>number of bales stored at one time</t>
  </si>
  <si>
    <t>bales</t>
  </si>
  <si>
    <t>i</t>
  </si>
  <si>
    <t>interest/discount rate</t>
  </si>
  <si>
    <t>% APR</t>
  </si>
  <si>
    <t>v</t>
  </si>
  <si>
    <t>bale volume</t>
  </si>
  <si>
    <t>cu. ft.</t>
  </si>
  <si>
    <t>pf</t>
  </si>
  <si>
    <t>price of fuel</t>
  </si>
  <si>
    <t>$/gal</t>
  </si>
  <si>
    <t>IN-BARN HAY STORAGE ... INTERMEDIATE CALCULATIONS</t>
  </si>
  <si>
    <t>pt</t>
  </si>
  <si>
    <t>pro-rated tractor fixed costs</t>
  </si>
  <si>
    <t>$/h</t>
  </si>
  <si>
    <t>Vi</t>
  </si>
  <si>
    <t>pl</t>
  </si>
  <si>
    <t>price of labor</t>
  </si>
  <si>
    <t>c</t>
  </si>
  <si>
    <t>unit capacity of the barn</t>
  </si>
  <si>
    <t>tons/sq. ft.</t>
  </si>
  <si>
    <t>SF</t>
  </si>
  <si>
    <t>safety factor for storage facility size</t>
  </si>
  <si>
    <t>dimensionless</t>
  </si>
  <si>
    <t>Ab</t>
  </si>
  <si>
    <t>area of barn</t>
  </si>
  <si>
    <t>sq ft</t>
  </si>
  <si>
    <t>Pb</t>
  </si>
  <si>
    <t>initial price of the barn</t>
  </si>
  <si>
    <t>$</t>
  </si>
  <si>
    <t>IN-BARN HAY STORAGE ... INPUTS</t>
  </si>
  <si>
    <t>PVIFAb</t>
  </si>
  <si>
    <t>pres. value int. fact. for annuity -barn</t>
  </si>
  <si>
    <t>Li</t>
  </si>
  <si>
    <t>unavoidable loss</t>
  </si>
  <si>
    <t>ACb,f</t>
  </si>
  <si>
    <t>annualized fixed cost of barn</t>
  </si>
  <si>
    <t>$/y</t>
  </si>
  <si>
    <t>h</t>
  </si>
  <si>
    <t>average stack height</t>
  </si>
  <si>
    <t>ACb,v</t>
  </si>
  <si>
    <t>annual barn variable cost</t>
  </si>
  <si>
    <t>pb</t>
  </si>
  <si>
    <t>unit price of barn</t>
  </si>
  <si>
    <t>$/sq ft</t>
  </si>
  <si>
    <t>ACl,v</t>
  </si>
  <si>
    <t>annual cost of additional labor</t>
  </si>
  <si>
    <t>kb</t>
  </si>
  <si>
    <t>barn life for amortization purposes</t>
  </si>
  <si>
    <t>y</t>
  </si>
  <si>
    <t>PVIFAm</t>
  </si>
  <si>
    <t>pres. value int. fact. for annuity -mach</t>
  </si>
  <si>
    <t>gb</t>
  </si>
  <si>
    <t>barn taxes and insurance</t>
  </si>
  <si>
    <t>% init cost/y</t>
  </si>
  <si>
    <t>ACm,f</t>
  </si>
  <si>
    <t>annualized fixed cost of add'l machinery</t>
  </si>
  <si>
    <t>rb</t>
  </si>
  <si>
    <t>barn repair and maintenance</t>
  </si>
  <si>
    <t>ACm,v</t>
  </si>
  <si>
    <t>annual variable cost of add'l machinery</t>
  </si>
  <si>
    <t>Pm</t>
  </si>
  <si>
    <t>price of added machinery</t>
  </si>
  <si>
    <t>AVa</t>
  </si>
  <si>
    <t>benefit in value of avoidable loss</t>
  </si>
  <si>
    <t>svm</t>
  </si>
  <si>
    <t>salvage value of added machinery</t>
  </si>
  <si>
    <t>% of init cost</t>
  </si>
  <si>
    <t>ACf</t>
  </si>
  <si>
    <t>total annualized fixed cost</t>
  </si>
  <si>
    <t>km</t>
  </si>
  <si>
    <t>machinery life for amortization purposes</t>
  </si>
  <si>
    <t>ACv</t>
  </si>
  <si>
    <t>total annual variable cost</t>
  </si>
  <si>
    <t>Hm</t>
  </si>
  <si>
    <t>added machinery time</t>
  </si>
  <si>
    <t>min/bale</t>
  </si>
  <si>
    <t>REUSABLE COVERING OF BALES ... INTERMEDIATE CALCULATIONS</t>
  </si>
  <si>
    <t>rm</t>
  </si>
  <si>
    <t>machinery repair and maintenance</t>
  </si>
  <si>
    <t>value of hay if stored w/ re-usable covering</t>
  </si>
  <si>
    <t>qf</t>
  </si>
  <si>
    <t>fuel consumption rate</t>
  </si>
  <si>
    <t>gal/h</t>
  </si>
  <si>
    <t>unit capacity of the site</t>
  </si>
  <si>
    <t>Hl</t>
  </si>
  <si>
    <t>added labor</t>
  </si>
  <si>
    <t>As</t>
  </si>
  <si>
    <t>area of site</t>
  </si>
  <si>
    <t>Ps</t>
  </si>
  <si>
    <t>initial price of site preparation</t>
  </si>
  <si>
    <t>REUSABLE COVERING OF BALES ... INPUTS</t>
  </si>
  <si>
    <t>PVIFAs</t>
  </si>
  <si>
    <t>pres. value int. fact. for annuity -site</t>
  </si>
  <si>
    <t>ACs,f</t>
  </si>
  <si>
    <t>annualized fixed cost of site</t>
  </si>
  <si>
    <t>ACs,v</t>
  </si>
  <si>
    <t>annual site variable cost</t>
  </si>
  <si>
    <t>ps</t>
  </si>
  <si>
    <t>unit price of site work</t>
  </si>
  <si>
    <t>ks</t>
  </si>
  <si>
    <t>site work life for amortization purposes</t>
  </si>
  <si>
    <t>PVIFAc</t>
  </si>
  <si>
    <t>pres. value int. fact. for annuity -cover</t>
  </si>
  <si>
    <t>rs</t>
  </si>
  <si>
    <t>site repair and maintenance</t>
  </si>
  <si>
    <t>ACc,f</t>
  </si>
  <si>
    <t>annualized fixed cost of cover</t>
  </si>
  <si>
    <t>pc</t>
  </si>
  <si>
    <t>unit price of covering material</t>
  </si>
  <si>
    <t>$/bale</t>
  </si>
  <si>
    <t>pres. value int. fact. for annuity -machine</t>
  </si>
  <si>
    <t>kc</t>
  </si>
  <si>
    <t>covering material life for amortization purposes</t>
  </si>
  <si>
    <t>ONE-TIME USE COVERING OF BALES ... INTERMEDIATE CALCULATIONS</t>
  </si>
  <si>
    <t>value of hay if stored w/ 1-time use covering</t>
  </si>
  <si>
    <t>unit capacity of site</t>
  </si>
  <si>
    <t>_x000C_</t>
  </si>
  <si>
    <t>initial price of site</t>
  </si>
  <si>
    <t>ONE-TIME USE COVERING OF BALES ... INPUTS</t>
  </si>
  <si>
    <t>ACw,v</t>
  </si>
  <si>
    <t>annualized cost of wrap/cover</t>
  </si>
  <si>
    <t>pw</t>
  </si>
  <si>
    <t>unit price of the wrap material</t>
  </si>
  <si>
    <t>OUTPUT SUMMARY ...</t>
  </si>
  <si>
    <t>IN-BARN HAY STORAGE</t>
  </si>
  <si>
    <t>AG</t>
  </si>
  <si>
    <t>annual net gain from storing inside a barn</t>
  </si>
  <si>
    <t>G</t>
  </si>
  <si>
    <t>net gain from storing inside a barn</t>
  </si>
  <si>
    <t>REUSABLE COVERING OF BALES</t>
  </si>
  <si>
    <t>annual net gain from storing with cover</t>
  </si>
  <si>
    <t>net gain from storing with cover</t>
  </si>
  <si>
    <t>ONE-TIME USE COVERING OF BALES</t>
  </si>
  <si>
    <t>annual net gain from storing with wrap/cover</t>
  </si>
  <si>
    <t>net gain from storing with wrap/cover</t>
  </si>
  <si>
    <t>Description of this tool</t>
  </si>
  <si>
    <t>Author</t>
  </si>
  <si>
    <t>Dennis Buckmaster, Professor &amp; Dean's Fellow for Digital Agriculture</t>
  </si>
  <si>
    <t>Affiliation</t>
  </si>
  <si>
    <t>Purdue University, Department of Agricultural &amp; Biological Engineering</t>
  </si>
  <si>
    <t>Date</t>
  </si>
  <si>
    <t>URL to acquire</t>
  </si>
  <si>
    <t>https://engineering.purdue.edu/~dbuckmas/research/HAYSTORE_updated.XLS</t>
  </si>
  <si>
    <t>Documentation</t>
  </si>
  <si>
    <t>1993, updated December, 2021</t>
  </si>
  <si>
    <t>https://engineering.purdue.edu/~dbuckmas/research/1993%20Evaluator%20for%20Round%20Hay%20Bale%20Storage.pdf</t>
  </si>
  <si>
    <t>Reference Documentation</t>
  </si>
  <si>
    <t>Hay Storage Evaluator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</si>
</sst>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.0_);\(#,##0.0\)"/>
    <numFmt numFmtId="166" formatCode="#,##0.000_);\(#,##0.000\)"/>
    <numFmt numFmtId="167" formatCode="0.0000_)"/>
  </numFmts>
  <fonts count="11" x14ac:knownFonts="1">
    <font>
      <sz val="10"/>
      <name val="Courier"/>
    </font>
    <font>
      <u/>
      <sz val="10"/>
      <color theme="10"/>
      <name val="Courier"/>
    </font>
    <font>
      <sz val="11"/>
      <color theme="1"/>
      <name val="Calibri"/>
      <family val="2"/>
      <scheme val="minor"/>
    </font>
    <font>
      <b/>
      <sz val="14"/>
      <color rgb="FF8E6F3E"/>
      <name val="Calibri"/>
      <family val="2"/>
      <scheme val="minor"/>
    </font>
    <font>
      <sz val="10"/>
      <color theme="1"/>
      <name val="Arial"/>
      <family val="2"/>
    </font>
    <font>
      <b/>
      <sz val="10"/>
      <color rgb="FF8E6F3E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8E6F3E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39" fontId="0" fillId="0" borderId="0"/>
    <xf numFmtId="39" fontId="1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41">
    <xf numFmtId="39" fontId="0" fillId="0" borderId="0" xfId="0"/>
    <xf numFmtId="0" fontId="2" fillId="2" borderId="0" xfId="2" applyFill="1"/>
    <xf numFmtId="0" fontId="2" fillId="0" borderId="0" xfId="2"/>
    <xf numFmtId="0" fontId="3" fillId="2" borderId="0" xfId="2" applyFont="1" applyFill="1" applyAlignment="1">
      <alignment horizontal="left" vertical="center"/>
    </xf>
    <xf numFmtId="0" fontId="4" fillId="0" borderId="0" xfId="2" applyFont="1"/>
    <xf numFmtId="0" fontId="5" fillId="0" borderId="0" xfId="2" applyFont="1"/>
    <xf numFmtId="15" fontId="4" fillId="0" borderId="0" xfId="2" applyNumberFormat="1" applyFont="1" applyAlignment="1">
      <alignment horizontal="left"/>
    </xf>
    <xf numFmtId="15" fontId="7" fillId="0" borderId="0" xfId="3" applyNumberFormat="1" applyFont="1"/>
    <xf numFmtId="0" fontId="8" fillId="0" borderId="0" xfId="2" applyFont="1"/>
    <xf numFmtId="0" fontId="2" fillId="0" borderId="0" xfId="2" applyAlignment="1">
      <alignment horizontal="left"/>
    </xf>
    <xf numFmtId="0" fontId="6" fillId="0" borderId="0" xfId="1" applyNumberFormat="1" applyFont="1" applyAlignment="1">
      <alignment horizontal="left"/>
    </xf>
    <xf numFmtId="15" fontId="6" fillId="0" borderId="0" xfId="3" applyNumberFormat="1" applyAlignment="1"/>
    <xf numFmtId="0" fontId="7" fillId="0" borderId="0" xfId="3" applyFont="1" applyAlignment="1">
      <alignment horizontal="left"/>
    </xf>
    <xf numFmtId="39" fontId="9" fillId="0" borderId="0" xfId="0" applyFont="1"/>
    <xf numFmtId="39" fontId="9" fillId="0" borderId="0" xfId="0" applyFont="1" applyAlignment="1" applyProtection="1">
      <alignment horizontal="left"/>
    </xf>
    <xf numFmtId="39" fontId="9" fillId="3" borderId="0" xfId="0" applyFont="1" applyFill="1"/>
    <xf numFmtId="39" fontId="9" fillId="3" borderId="0" xfId="0" applyFont="1" applyFill="1" applyAlignment="1" applyProtection="1">
      <alignment horizontal="left"/>
    </xf>
    <xf numFmtId="39" fontId="9" fillId="4" borderId="0" xfId="0" applyFont="1" applyFill="1" applyAlignment="1" applyProtection="1">
      <alignment horizontal="left"/>
    </xf>
    <xf numFmtId="39" fontId="9" fillId="4" borderId="0" xfId="0" applyFont="1" applyFill="1"/>
    <xf numFmtId="39" fontId="9" fillId="6" borderId="0" xfId="0" applyFont="1" applyFill="1"/>
    <xf numFmtId="39" fontId="9" fillId="6" borderId="0" xfId="0" applyFont="1" applyFill="1" applyAlignment="1" applyProtection="1">
      <alignment horizontal="left"/>
    </xf>
    <xf numFmtId="39" fontId="9" fillId="7" borderId="0" xfId="0" applyFont="1" applyFill="1" applyAlignment="1" applyProtection="1">
      <alignment horizontal="left"/>
    </xf>
    <xf numFmtId="164" fontId="9" fillId="7" borderId="0" xfId="0" applyNumberFormat="1" applyFont="1" applyFill="1" applyProtection="1"/>
    <xf numFmtId="39" fontId="9" fillId="7" borderId="0" xfId="0" applyNumberFormat="1" applyFont="1" applyFill="1" applyProtection="1"/>
    <xf numFmtId="166" fontId="9" fillId="7" borderId="0" xfId="0" applyNumberFormat="1" applyFont="1" applyFill="1" applyProtection="1"/>
    <xf numFmtId="39" fontId="9" fillId="7" borderId="0" xfId="0" applyFont="1" applyFill="1"/>
    <xf numFmtId="165" fontId="9" fillId="7" borderId="0" xfId="0" applyNumberFormat="1" applyFont="1" applyFill="1" applyProtection="1"/>
    <xf numFmtId="37" fontId="9" fillId="7" borderId="0" xfId="0" applyNumberFormat="1" applyFont="1" applyFill="1" applyProtection="1"/>
    <xf numFmtId="167" fontId="9" fillId="7" borderId="0" xfId="0" applyNumberFormat="1" applyFont="1" applyFill="1" applyProtection="1"/>
    <xf numFmtId="39" fontId="9" fillId="8" borderId="0" xfId="0" applyFont="1" applyFill="1"/>
    <xf numFmtId="39" fontId="9" fillId="8" borderId="0" xfId="0" applyFont="1" applyFill="1" applyAlignment="1" applyProtection="1">
      <alignment horizontal="left"/>
    </xf>
    <xf numFmtId="39" fontId="9" fillId="9" borderId="0" xfId="0" applyFont="1" applyFill="1"/>
    <xf numFmtId="39" fontId="9" fillId="9" borderId="0" xfId="0" applyFont="1" applyFill="1" applyAlignment="1" applyProtection="1">
      <alignment horizontal="left"/>
    </xf>
    <xf numFmtId="164" fontId="10" fillId="10" borderId="0" xfId="0" applyNumberFormat="1" applyFont="1" applyFill="1" applyProtection="1"/>
    <xf numFmtId="39" fontId="10" fillId="10" borderId="0" xfId="0" applyNumberFormat="1" applyFont="1" applyFill="1" applyProtection="1"/>
    <xf numFmtId="37" fontId="10" fillId="10" borderId="0" xfId="0" applyNumberFormat="1" applyFont="1" applyFill="1" applyProtection="1"/>
    <xf numFmtId="165" fontId="9" fillId="5" borderId="0" xfId="0" applyNumberFormat="1" applyFont="1" applyFill="1" applyProtection="1">
      <protection locked="0"/>
    </xf>
    <xf numFmtId="164" fontId="9" fillId="5" borderId="0" xfId="0" applyNumberFormat="1" applyFont="1" applyFill="1" applyProtection="1">
      <protection locked="0"/>
    </xf>
    <xf numFmtId="39" fontId="9" fillId="5" borderId="0" xfId="0" applyNumberFormat="1" applyFont="1" applyFill="1" applyProtection="1">
      <protection locked="0"/>
    </xf>
    <xf numFmtId="37" fontId="9" fillId="5" borderId="0" xfId="0" applyNumberFormat="1" applyFont="1" applyFill="1" applyProtection="1">
      <protection locked="0"/>
    </xf>
    <xf numFmtId="39" fontId="9" fillId="5" borderId="0" xfId="0" applyFont="1" applyFill="1" applyProtection="1">
      <protection locked="0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6</xdr:col>
      <xdr:colOff>523879</xdr:colOff>
      <xdr:row>13</xdr:row>
      <xdr:rowOff>183173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D75BAD-B8CB-4D43-9984-35AE5BC7CA4C}"/>
            </a:ext>
          </a:extLst>
        </xdr:cNvPr>
        <xdr:cNvSpPr txBox="1"/>
      </xdr:nvSpPr>
      <xdr:spPr>
        <a:xfrm>
          <a:off x="0" y="971550"/>
          <a:ext cx="4626956" cy="1688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This is a simple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spreadsheet intended to help farmers or advisors compare hay </a:t>
          </a:r>
          <a:r>
            <a:rPr lang="en-US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storage alternatives. Almost always, some protection or structure is justified. We hope this tool is simple enough to avoid the need for a user manual. Inputs are grouped together, intermediate calculations are off to the side, and an output summary is at the bottom. </a:t>
          </a:r>
        </a:p>
        <a:p>
          <a:endParaRPr lang="en-US" sz="105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tool may be freely used, refined, updated as long as credit to the source is given. It is protected to prevent </a:t>
          </a:r>
          <a:r>
            <a:rPr lang="en-US" sz="105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inadvertent changes, but the protection is without password so that those inclined and suitably knowledgeable may customize the tool.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427333</xdr:colOff>
      <xdr:row>1</xdr:row>
      <xdr:rowOff>162652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36F843-65FE-4046-8F4F-F71FD20FC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141" cy="353152"/>
        </a:xfrm>
        <a:prstGeom prst="rect">
          <a:avLst/>
        </a:prstGeom>
      </xdr:spPr>
    </xdr:pic>
    <xdr:clientData/>
  </xdr:twoCellAnchor>
  <xdr:twoCellAnchor>
    <xdr:from>
      <xdr:col>8</xdr:col>
      <xdr:colOff>5862</xdr:colOff>
      <xdr:row>5</xdr:row>
      <xdr:rowOff>24912</xdr:rowOff>
    </xdr:from>
    <xdr:to>
      <xdr:col>13</xdr:col>
      <xdr:colOff>146539</xdr:colOff>
      <xdr:row>7</xdr:row>
      <xdr:rowOff>73270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207DC4-13E1-4947-BE82-62C23867B30B}"/>
            </a:ext>
          </a:extLst>
        </xdr:cNvPr>
        <xdr:cNvSpPr txBox="1"/>
      </xdr:nvSpPr>
      <xdr:spPr>
        <a:xfrm>
          <a:off x="5325208" y="977412"/>
          <a:ext cx="3181350" cy="429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Buckmaster, D.R. 1993. Evaluator for round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hay bale storage. J. Prod. Agr. 6(3):378-385.</a:t>
          </a:r>
          <a:endParaRPr lang="en-US" sz="105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ngineering.purdue.edu/~dbuckmas/research/1993%20Evaluator%20for%20Round%20Hay%20Bale%20Storage.pdf" TargetMode="External"/><Relationship Id="rId1" Type="http://schemas.openxmlformats.org/officeDocument/2006/relationships/hyperlink" Target="https://engineering.purdue.edu/~dbuckmas/research/HAYSTORE_update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30" zoomScaleNormal="130" workbookViewId="0">
      <selection activeCell="I12" sqref="I12"/>
    </sheetView>
  </sheetViews>
  <sheetFormatPr defaultColWidth="8" defaultRowHeight="15" x14ac:dyDescent="0.25"/>
  <cols>
    <col min="1" max="1" width="12.375" style="2" customWidth="1"/>
    <col min="2" max="2" width="9.5" style="2" bestFit="1" customWidth="1"/>
    <col min="3" max="16384" width="8" style="2"/>
  </cols>
  <sheetData>
    <row r="1" spans="1:11" x14ac:dyDescent="0.25">
      <c r="A1" s="1"/>
      <c r="B1" s="1"/>
      <c r="C1" s="1"/>
    </row>
    <row r="2" spans="1:11" x14ac:dyDescent="0.25">
      <c r="A2" s="1"/>
      <c r="B2" s="1"/>
      <c r="C2" s="1"/>
    </row>
    <row r="3" spans="1:11" ht="15" customHeight="1" x14ac:dyDescent="0.25">
      <c r="A3" s="3" t="s">
        <v>192</v>
      </c>
      <c r="B3" s="3"/>
      <c r="C3" s="3"/>
      <c r="D3" s="3"/>
      <c r="E3" s="3"/>
      <c r="F3" s="3"/>
      <c r="G3" s="4"/>
      <c r="H3" s="4"/>
      <c r="I3" s="4"/>
      <c r="J3" s="4"/>
      <c r="K3" s="4"/>
    </row>
    <row r="4" spans="1:11" ht="15" customHeight="1" x14ac:dyDescent="0.25">
      <c r="A4" s="3"/>
      <c r="B4" s="3"/>
      <c r="C4" s="3"/>
      <c r="D4" s="3"/>
      <c r="E4" s="3"/>
      <c r="F4" s="3"/>
      <c r="G4" s="4"/>
      <c r="H4" s="4"/>
      <c r="I4" s="4"/>
      <c r="J4" s="4"/>
      <c r="K4" s="4"/>
    </row>
    <row r="5" spans="1:11" x14ac:dyDescent="0.25">
      <c r="A5" s="5" t="s">
        <v>180</v>
      </c>
      <c r="B5" s="6"/>
      <c r="C5" s="4"/>
      <c r="D5" s="4"/>
      <c r="E5" s="4"/>
      <c r="F5" s="4"/>
      <c r="G5" s="5"/>
      <c r="H5" s="4"/>
      <c r="I5" s="5" t="s">
        <v>191</v>
      </c>
      <c r="J5" s="4"/>
      <c r="K5" s="4"/>
    </row>
    <row r="6" spans="1:11" x14ac:dyDescent="0.25">
      <c r="A6" s="5"/>
      <c r="B6" s="7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8" t="s">
        <v>181</v>
      </c>
      <c r="B16" s="2" t="s">
        <v>182</v>
      </c>
      <c r="C16" s="4"/>
      <c r="D16" s="4"/>
      <c r="E16" s="4"/>
      <c r="F16" s="4"/>
      <c r="G16" s="4"/>
      <c r="H16" s="4"/>
      <c r="I16" s="4"/>
      <c r="J16" s="4"/>
      <c r="K16" s="4"/>
    </row>
    <row r="17" spans="1:16" x14ac:dyDescent="0.25">
      <c r="A17" s="8" t="s">
        <v>183</v>
      </c>
      <c r="B17" s="2" t="s">
        <v>184</v>
      </c>
      <c r="C17" s="4"/>
      <c r="D17" s="4"/>
      <c r="E17" s="4"/>
      <c r="F17" s="4"/>
      <c r="G17" s="4"/>
      <c r="H17" s="4"/>
      <c r="I17" s="4"/>
      <c r="J17" s="4"/>
      <c r="K17" s="4"/>
    </row>
    <row r="18" spans="1:16" x14ac:dyDescent="0.25">
      <c r="A18" s="8" t="s">
        <v>185</v>
      </c>
      <c r="B18" s="9" t="s">
        <v>189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6" x14ac:dyDescent="0.25">
      <c r="A19" s="8" t="s">
        <v>186</v>
      </c>
      <c r="B19" s="10" t="s">
        <v>187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  <c r="O19" s="11"/>
      <c r="P19" s="11"/>
    </row>
    <row r="20" spans="1:16" x14ac:dyDescent="0.25">
      <c r="A20" s="8" t="s">
        <v>188</v>
      </c>
      <c r="B20" s="10" t="s">
        <v>190</v>
      </c>
      <c r="C20" s="10"/>
      <c r="D20" s="9"/>
      <c r="E20" s="9"/>
      <c r="F20" s="9"/>
      <c r="G20" s="9"/>
      <c r="H20" s="9"/>
      <c r="I20" s="9"/>
      <c r="J20" s="9"/>
      <c r="K20" s="9"/>
      <c r="L20" s="9"/>
    </row>
    <row r="21" spans="1:16" x14ac:dyDescent="0.25">
      <c r="A21" s="5"/>
      <c r="B21" s="9"/>
      <c r="C21" s="9"/>
      <c r="D21" s="9"/>
      <c r="E21" s="10"/>
      <c r="F21" s="9"/>
      <c r="G21" s="9"/>
      <c r="H21" s="9"/>
      <c r="I21" s="9"/>
      <c r="J21" s="9"/>
      <c r="K21" s="9"/>
      <c r="L21" s="9"/>
    </row>
    <row r="22" spans="1:16" x14ac:dyDescent="0.25">
      <c r="B22" s="9"/>
      <c r="C22" s="9"/>
      <c r="D22" s="9"/>
      <c r="E22" s="10"/>
      <c r="F22" s="9"/>
      <c r="G22" s="9"/>
      <c r="H22" s="9"/>
      <c r="I22" s="9"/>
      <c r="J22" s="9"/>
      <c r="K22" s="9"/>
      <c r="L22" s="9"/>
      <c r="M22" s="12"/>
      <c r="N22" s="12"/>
    </row>
    <row r="23" spans="1:16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 sheet="1" objects="1" scenarios="1"/>
  <mergeCells count="1">
    <mergeCell ref="A3:F4"/>
  </mergeCells>
  <hyperlinks>
    <hyperlink ref="B19" r:id="rId1"/>
    <hyperlink ref="B2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77"/>
  <sheetViews>
    <sheetView showGridLines="0" workbookViewId="0">
      <selection activeCell="K40" sqref="K40"/>
    </sheetView>
  </sheetViews>
  <sheetFormatPr defaultColWidth="11.625" defaultRowHeight="14.25" x14ac:dyDescent="0.2"/>
  <cols>
    <col min="1" max="1" width="4.625" style="13" customWidth="1"/>
    <col min="2" max="2" width="44.625" style="13" customWidth="1"/>
    <col min="3" max="3" width="10.625" style="13" customWidth="1"/>
    <col min="4" max="4" width="17.625" style="13" customWidth="1"/>
    <col min="5" max="5" width="6.625" style="13" customWidth="1"/>
    <col min="6" max="6" width="7.625" style="13" customWidth="1"/>
    <col min="7" max="7" width="43.625" style="13" customWidth="1"/>
    <col min="8" max="8" width="10.625" style="13" customWidth="1"/>
    <col min="9" max="9" width="11.625" style="13" customWidth="1"/>
    <col min="10" max="16384" width="11.625" style="13"/>
  </cols>
  <sheetData>
    <row r="1" spans="1:9" x14ac:dyDescent="0.2">
      <c r="B1" s="14" t="s">
        <v>0</v>
      </c>
      <c r="C1" s="14" t="s">
        <v>1</v>
      </c>
      <c r="F1" s="19"/>
      <c r="G1" s="20" t="s">
        <v>2</v>
      </c>
      <c r="H1" s="19"/>
      <c r="I1" s="19"/>
    </row>
    <row r="2" spans="1:9" x14ac:dyDescent="0.2">
      <c r="C2" s="14" t="s">
        <v>3</v>
      </c>
      <c r="F2" s="19"/>
      <c r="G2" s="20" t="s">
        <v>4</v>
      </c>
      <c r="H2" s="19"/>
      <c r="I2" s="19"/>
    </row>
    <row r="3" spans="1:9" x14ac:dyDescent="0.2">
      <c r="A3" s="15"/>
      <c r="B3" s="16" t="s">
        <v>5</v>
      </c>
      <c r="C3" s="15"/>
      <c r="D3" s="15"/>
      <c r="F3" s="21" t="s">
        <v>6</v>
      </c>
      <c r="G3" s="21" t="s">
        <v>7</v>
      </c>
      <c r="H3" s="22">
        <f>IF(C6&lt;&gt;0,C6,H11*10)</f>
        <v>1000</v>
      </c>
      <c r="I3" s="21" t="s">
        <v>8</v>
      </c>
    </row>
    <row r="4" spans="1:9" x14ac:dyDescent="0.2">
      <c r="A4" s="17" t="s">
        <v>9</v>
      </c>
      <c r="B4" s="17" t="s">
        <v>10</v>
      </c>
      <c r="C4" s="36">
        <v>5</v>
      </c>
      <c r="D4" s="17" t="s">
        <v>11</v>
      </c>
      <c r="F4" s="21" t="s">
        <v>12</v>
      </c>
      <c r="G4" s="21" t="s">
        <v>13</v>
      </c>
      <c r="H4" s="23">
        <f>-60+(C8+60)*(1-C7/100)</f>
        <v>52</v>
      </c>
      <c r="I4" s="21" t="s">
        <v>14</v>
      </c>
    </row>
    <row r="5" spans="1:9" x14ac:dyDescent="0.2">
      <c r="A5" s="17" t="s">
        <v>15</v>
      </c>
      <c r="B5" s="17" t="s">
        <v>16</v>
      </c>
      <c r="C5" s="36">
        <v>5</v>
      </c>
      <c r="D5" s="17" t="s">
        <v>11</v>
      </c>
      <c r="F5" s="21" t="s">
        <v>17</v>
      </c>
      <c r="G5" s="21" t="s">
        <v>18</v>
      </c>
      <c r="H5" s="24">
        <f>(1-C10/365)*C15</f>
        <v>0.69863013698630139</v>
      </c>
      <c r="I5" s="25"/>
    </row>
    <row r="6" spans="1:9" x14ac:dyDescent="0.2">
      <c r="A6" s="17" t="s">
        <v>19</v>
      </c>
      <c r="B6" s="17" t="s">
        <v>20</v>
      </c>
      <c r="C6" s="37">
        <v>1000</v>
      </c>
      <c r="D6" s="17" t="s">
        <v>8</v>
      </c>
      <c r="F6" s="21" t="s">
        <v>21</v>
      </c>
      <c r="G6" s="21" t="s">
        <v>22</v>
      </c>
      <c r="H6" s="26">
        <f>H3/H11</f>
        <v>10.185916357881302</v>
      </c>
      <c r="I6" s="21" t="s">
        <v>23</v>
      </c>
    </row>
    <row r="7" spans="1:9" x14ac:dyDescent="0.2">
      <c r="A7" s="17" t="s">
        <v>24</v>
      </c>
      <c r="B7" s="17" t="s">
        <v>25</v>
      </c>
      <c r="C7" s="36">
        <v>20</v>
      </c>
      <c r="D7" s="17" t="s">
        <v>26</v>
      </c>
      <c r="F7" s="21" t="s">
        <v>27</v>
      </c>
      <c r="G7" s="21" t="s">
        <v>28</v>
      </c>
      <c r="H7" s="24">
        <f>1.27/C5</f>
        <v>0.254</v>
      </c>
      <c r="I7" s="21" t="s">
        <v>29</v>
      </c>
    </row>
    <row r="8" spans="1:9" x14ac:dyDescent="0.2">
      <c r="A8" s="17" t="s">
        <v>30</v>
      </c>
      <c r="B8" s="17" t="s">
        <v>31</v>
      </c>
      <c r="C8" s="38">
        <v>80</v>
      </c>
      <c r="D8" s="17" t="s">
        <v>14</v>
      </c>
      <c r="F8" s="21" t="s">
        <v>32</v>
      </c>
      <c r="G8" s="21" t="s">
        <v>33</v>
      </c>
      <c r="H8" s="24">
        <f>1.27/C4</f>
        <v>0.254</v>
      </c>
      <c r="I8" s="21" t="s">
        <v>29</v>
      </c>
    </row>
    <row r="9" spans="1:9" x14ac:dyDescent="0.2">
      <c r="A9" s="17" t="s">
        <v>34</v>
      </c>
      <c r="B9" s="17" t="s">
        <v>35</v>
      </c>
      <c r="C9" s="39">
        <v>200</v>
      </c>
      <c r="D9" s="17" t="s">
        <v>36</v>
      </c>
      <c r="F9" s="21" t="s">
        <v>37</v>
      </c>
      <c r="G9" s="21" t="s">
        <v>38</v>
      </c>
      <c r="H9" s="26">
        <f>2000*H7/H6</f>
        <v>49.872783375737967</v>
      </c>
      <c r="I9" s="21" t="s">
        <v>39</v>
      </c>
    </row>
    <row r="10" spans="1:9" x14ac:dyDescent="0.2">
      <c r="A10" s="17" t="s">
        <v>40</v>
      </c>
      <c r="B10" s="17" t="s">
        <v>41</v>
      </c>
      <c r="C10" s="39">
        <v>110</v>
      </c>
      <c r="D10" s="17" t="s">
        <v>42</v>
      </c>
      <c r="F10" s="21" t="s">
        <v>43</v>
      </c>
      <c r="G10" s="21" t="s">
        <v>44</v>
      </c>
      <c r="H10" s="27">
        <f>2000*C9*H5/H3</f>
        <v>279.45205479452056</v>
      </c>
      <c r="I10" s="21" t="s">
        <v>45</v>
      </c>
    </row>
    <row r="11" spans="1:9" x14ac:dyDescent="0.2">
      <c r="A11" s="17" t="s">
        <v>46</v>
      </c>
      <c r="B11" s="17" t="s">
        <v>47</v>
      </c>
      <c r="C11" s="36">
        <v>9</v>
      </c>
      <c r="D11" s="17" t="s">
        <v>48</v>
      </c>
      <c r="F11" s="21" t="s">
        <v>49</v>
      </c>
      <c r="G11" s="21" t="s">
        <v>50</v>
      </c>
      <c r="H11" s="27">
        <f>PI()*C4^2*C5/4</f>
        <v>98.174770424681029</v>
      </c>
      <c r="I11" s="21" t="s">
        <v>51</v>
      </c>
    </row>
    <row r="12" spans="1:9" x14ac:dyDescent="0.2">
      <c r="A12" s="17" t="s">
        <v>52</v>
      </c>
      <c r="B12" s="17" t="s">
        <v>53</v>
      </c>
      <c r="C12" s="40">
        <v>1.1499999999999999</v>
      </c>
      <c r="D12" s="17" t="s">
        <v>54</v>
      </c>
      <c r="F12" s="19"/>
      <c r="G12" s="20" t="s">
        <v>55</v>
      </c>
      <c r="H12" s="19"/>
      <c r="I12" s="19"/>
    </row>
    <row r="13" spans="1:9" x14ac:dyDescent="0.2">
      <c r="A13" s="17" t="s">
        <v>56</v>
      </c>
      <c r="B13" s="17" t="s">
        <v>57</v>
      </c>
      <c r="C13" s="38">
        <v>6</v>
      </c>
      <c r="D13" s="17" t="s">
        <v>58</v>
      </c>
      <c r="F13" s="21" t="s">
        <v>59</v>
      </c>
      <c r="G13" s="21" t="s">
        <v>13</v>
      </c>
      <c r="H13" s="23">
        <f>C8*(1-C18/100)-60*(C18/100)</f>
        <v>74.399999999999991</v>
      </c>
      <c r="I13" s="21" t="s">
        <v>14</v>
      </c>
    </row>
    <row r="14" spans="1:9" x14ac:dyDescent="0.2">
      <c r="A14" s="17" t="s">
        <v>60</v>
      </c>
      <c r="B14" s="17" t="s">
        <v>61</v>
      </c>
      <c r="C14" s="40">
        <v>6</v>
      </c>
      <c r="D14" s="17" t="s">
        <v>58</v>
      </c>
      <c r="F14" s="21" t="s">
        <v>62</v>
      </c>
      <c r="G14" s="21" t="s">
        <v>63</v>
      </c>
      <c r="H14" s="28">
        <f>C19/H9</f>
        <v>6.015304935756674E-2</v>
      </c>
      <c r="I14" s="21" t="s">
        <v>64</v>
      </c>
    </row>
    <row r="15" spans="1:9" x14ac:dyDescent="0.2">
      <c r="A15" s="17" t="s">
        <v>65</v>
      </c>
      <c r="B15" s="17" t="s">
        <v>66</v>
      </c>
      <c r="C15" s="38">
        <v>1</v>
      </c>
      <c r="D15" s="17" t="s">
        <v>67</v>
      </c>
      <c r="F15" s="21" t="s">
        <v>68</v>
      </c>
      <c r="G15" s="21" t="s">
        <v>69</v>
      </c>
      <c r="H15" s="22">
        <f>C9*H5/H14</f>
        <v>2322.8419654453301</v>
      </c>
      <c r="I15" s="21" t="s">
        <v>70</v>
      </c>
    </row>
    <row r="16" spans="1:9" x14ac:dyDescent="0.2">
      <c r="A16" s="18"/>
      <c r="B16" s="18"/>
      <c r="C16" s="18"/>
      <c r="D16" s="18"/>
      <c r="F16" s="21" t="s">
        <v>71</v>
      </c>
      <c r="G16" s="21" t="s">
        <v>72</v>
      </c>
      <c r="H16" s="27">
        <f>C20*H15</f>
        <v>17421.314740839975</v>
      </c>
      <c r="I16" s="21" t="s">
        <v>73</v>
      </c>
    </row>
    <row r="17" spans="1:9" x14ac:dyDescent="0.2">
      <c r="A17" s="15"/>
      <c r="B17" s="16" t="s">
        <v>74</v>
      </c>
      <c r="C17" s="15"/>
      <c r="D17" s="15"/>
      <c r="F17" s="21" t="s">
        <v>75</v>
      </c>
      <c r="G17" s="21" t="s">
        <v>76</v>
      </c>
      <c r="H17" s="24">
        <f>(1-1/(1+C11/100)^C21)/(C11/100)</f>
        <v>6.4176577011590128</v>
      </c>
      <c r="I17" s="25"/>
    </row>
    <row r="18" spans="1:9" x14ac:dyDescent="0.2">
      <c r="A18" s="17" t="s">
        <v>77</v>
      </c>
      <c r="B18" s="17" t="s">
        <v>78</v>
      </c>
      <c r="C18" s="36">
        <v>4</v>
      </c>
      <c r="D18" s="17" t="s">
        <v>26</v>
      </c>
      <c r="F18" s="21" t="s">
        <v>79</v>
      </c>
      <c r="G18" s="21" t="s">
        <v>80</v>
      </c>
      <c r="H18" s="22">
        <f>H16/H17+(C22/100)*H16</f>
        <v>2888.8039766596589</v>
      </c>
      <c r="I18" s="21" t="s">
        <v>81</v>
      </c>
    </row>
    <row r="19" spans="1:9" x14ac:dyDescent="0.2">
      <c r="A19" s="17" t="s">
        <v>82</v>
      </c>
      <c r="B19" s="17" t="s">
        <v>83</v>
      </c>
      <c r="C19" s="40">
        <v>3</v>
      </c>
      <c r="D19" s="17" t="s">
        <v>45</v>
      </c>
      <c r="F19" s="21" t="s">
        <v>84</v>
      </c>
      <c r="G19" s="21" t="s">
        <v>85</v>
      </c>
      <c r="H19" s="27">
        <f>(C23/100)*H16</f>
        <v>174.21314740839975</v>
      </c>
      <c r="I19" s="21" t="s">
        <v>81</v>
      </c>
    </row>
    <row r="20" spans="1:9" x14ac:dyDescent="0.2">
      <c r="A20" s="17" t="s">
        <v>86</v>
      </c>
      <c r="B20" s="17" t="s">
        <v>87</v>
      </c>
      <c r="C20" s="40">
        <v>7.5</v>
      </c>
      <c r="D20" s="17" t="s">
        <v>88</v>
      </c>
      <c r="F20" s="21" t="s">
        <v>89</v>
      </c>
      <c r="G20" s="21" t="s">
        <v>90</v>
      </c>
      <c r="H20" s="27">
        <f>C14*(C30/60)*(2000*C9/H3)</f>
        <v>399.99999999999994</v>
      </c>
      <c r="I20" s="21" t="s">
        <v>81</v>
      </c>
    </row>
    <row r="21" spans="1:9" x14ac:dyDescent="0.2">
      <c r="A21" s="17" t="s">
        <v>91</v>
      </c>
      <c r="B21" s="17" t="s">
        <v>92</v>
      </c>
      <c r="C21" s="39">
        <v>10</v>
      </c>
      <c r="D21" s="17" t="s">
        <v>93</v>
      </c>
      <c r="F21" s="21" t="s">
        <v>94</v>
      </c>
      <c r="G21" s="21" t="s">
        <v>95</v>
      </c>
      <c r="H21" s="24">
        <f>(1-1/(1+C11/100)^C26)/(C11/100)</f>
        <v>3.8896512633517197</v>
      </c>
      <c r="I21" s="25"/>
    </row>
    <row r="22" spans="1:9" x14ac:dyDescent="0.2">
      <c r="A22" s="17" t="s">
        <v>96</v>
      </c>
      <c r="B22" s="17" t="s">
        <v>97</v>
      </c>
      <c r="C22" s="36">
        <v>1</v>
      </c>
      <c r="D22" s="17" t="s">
        <v>98</v>
      </c>
      <c r="F22" s="21" t="s">
        <v>99</v>
      </c>
      <c r="G22" s="21" t="s">
        <v>100</v>
      </c>
      <c r="H22" s="22">
        <f>(C24-C24*C25/100/(1+C11/100)^C26)/H21</f>
        <v>308.51094834809373</v>
      </c>
      <c r="I22" s="21" t="s">
        <v>81</v>
      </c>
    </row>
    <row r="23" spans="1:9" x14ac:dyDescent="0.2">
      <c r="A23" s="17" t="s">
        <v>101</v>
      </c>
      <c r="B23" s="17" t="s">
        <v>102</v>
      </c>
      <c r="C23" s="36">
        <v>1</v>
      </c>
      <c r="D23" s="17" t="s">
        <v>98</v>
      </c>
      <c r="F23" s="21" t="s">
        <v>103</v>
      </c>
      <c r="G23" s="21" t="s">
        <v>104</v>
      </c>
      <c r="H23" s="22">
        <f>(C27/60)*(C9*2000/H3)*(C29*C12+C13)+(C28/100)*C24</f>
        <v>615.66666666666663</v>
      </c>
      <c r="I23" s="21" t="s">
        <v>81</v>
      </c>
    </row>
    <row r="24" spans="1:9" x14ac:dyDescent="0.2">
      <c r="A24" s="17" t="s">
        <v>105</v>
      </c>
      <c r="B24" s="17" t="s">
        <v>106</v>
      </c>
      <c r="C24" s="37">
        <v>1200</v>
      </c>
      <c r="D24" s="17" t="s">
        <v>73</v>
      </c>
      <c r="F24" s="21" t="s">
        <v>107</v>
      </c>
      <c r="G24" s="21" t="s">
        <v>108</v>
      </c>
      <c r="H24" s="27">
        <f>C9*(H13*(1-C18/100)-H4*(1-C7/100))</f>
        <v>5964.7999999999984</v>
      </c>
      <c r="I24" s="21" t="s">
        <v>81</v>
      </c>
    </row>
    <row r="25" spans="1:9" x14ac:dyDescent="0.2">
      <c r="A25" s="17" t="s">
        <v>109</v>
      </c>
      <c r="B25" s="17" t="s">
        <v>110</v>
      </c>
      <c r="C25" s="39">
        <v>0</v>
      </c>
      <c r="D25" s="17" t="s">
        <v>111</v>
      </c>
      <c r="F25" s="21" t="s">
        <v>112</v>
      </c>
      <c r="G25" s="21" t="s">
        <v>113</v>
      </c>
      <c r="H25" s="27">
        <f>H18+H22</f>
        <v>3197.3149250077527</v>
      </c>
      <c r="I25" s="21" t="s">
        <v>81</v>
      </c>
    </row>
    <row r="26" spans="1:9" x14ac:dyDescent="0.2">
      <c r="A26" s="17" t="s">
        <v>114</v>
      </c>
      <c r="B26" s="17" t="s">
        <v>115</v>
      </c>
      <c r="C26" s="39">
        <v>5</v>
      </c>
      <c r="D26" s="17" t="s">
        <v>93</v>
      </c>
      <c r="F26" s="21" t="s">
        <v>116</v>
      </c>
      <c r="G26" s="21" t="s">
        <v>117</v>
      </c>
      <c r="H26" s="27">
        <f>H19+H23+H20</f>
        <v>1189.8798140750662</v>
      </c>
      <c r="I26" s="21" t="s">
        <v>81</v>
      </c>
    </row>
    <row r="27" spans="1:9" x14ac:dyDescent="0.2">
      <c r="A27" s="17" t="s">
        <v>118</v>
      </c>
      <c r="B27" s="17" t="s">
        <v>119</v>
      </c>
      <c r="C27" s="39">
        <v>10</v>
      </c>
      <c r="D27" s="17" t="s">
        <v>120</v>
      </c>
      <c r="F27" s="19"/>
      <c r="G27" s="20" t="s">
        <v>121</v>
      </c>
      <c r="H27" s="19"/>
      <c r="I27" s="19"/>
    </row>
    <row r="28" spans="1:9" x14ac:dyDescent="0.2">
      <c r="A28" s="17" t="s">
        <v>122</v>
      </c>
      <c r="B28" s="17" t="s">
        <v>123</v>
      </c>
      <c r="C28" s="36">
        <v>2</v>
      </c>
      <c r="D28" s="17" t="s">
        <v>98</v>
      </c>
      <c r="F28" s="21" t="s">
        <v>59</v>
      </c>
      <c r="G28" s="21" t="s">
        <v>124</v>
      </c>
      <c r="H28" s="23">
        <f>C8*(1-C33/100)-60*(C33/100)</f>
        <v>68.800000000000011</v>
      </c>
      <c r="I28" s="21" t="s">
        <v>14</v>
      </c>
    </row>
    <row r="29" spans="1:9" x14ac:dyDescent="0.2">
      <c r="A29" s="17" t="s">
        <v>125</v>
      </c>
      <c r="B29" s="17" t="s">
        <v>126</v>
      </c>
      <c r="C29" s="40">
        <v>2.5</v>
      </c>
      <c r="D29" s="17" t="s">
        <v>127</v>
      </c>
      <c r="F29" s="21" t="s">
        <v>62</v>
      </c>
      <c r="G29" s="21" t="s">
        <v>128</v>
      </c>
      <c r="H29" s="28">
        <f>C34/H9</f>
        <v>4.0102032905044493E-2</v>
      </c>
      <c r="I29" s="21" t="s">
        <v>64</v>
      </c>
    </row>
    <row r="30" spans="1:9" x14ac:dyDescent="0.2">
      <c r="A30" s="17" t="s">
        <v>129</v>
      </c>
      <c r="B30" s="17" t="s">
        <v>130</v>
      </c>
      <c r="C30" s="39">
        <v>10</v>
      </c>
      <c r="D30" s="17" t="s">
        <v>120</v>
      </c>
      <c r="F30" s="21" t="s">
        <v>131</v>
      </c>
      <c r="G30" s="21" t="s">
        <v>132</v>
      </c>
      <c r="H30" s="22">
        <f>C9*H5/H29</f>
        <v>3484.2629481679951</v>
      </c>
      <c r="I30" s="21" t="s">
        <v>70</v>
      </c>
    </row>
    <row r="31" spans="1:9" x14ac:dyDescent="0.2">
      <c r="A31" s="18"/>
      <c r="B31" s="18"/>
      <c r="C31" s="18"/>
      <c r="D31" s="18"/>
      <c r="F31" s="21" t="s">
        <v>133</v>
      </c>
      <c r="G31" s="21" t="s">
        <v>134</v>
      </c>
      <c r="H31" s="27">
        <f>C35*H30</f>
        <v>1742.1314740839975</v>
      </c>
      <c r="I31" s="21" t="s">
        <v>73</v>
      </c>
    </row>
    <row r="32" spans="1:9" x14ac:dyDescent="0.2">
      <c r="A32" s="15"/>
      <c r="B32" s="16" t="s">
        <v>135</v>
      </c>
      <c r="C32" s="15"/>
      <c r="D32" s="15"/>
      <c r="F32" s="21" t="s">
        <v>136</v>
      </c>
      <c r="G32" s="21" t="s">
        <v>137</v>
      </c>
      <c r="H32" s="24">
        <f>(1-1/(1+C11/100)^C36)/(C11/100)</f>
        <v>6.4176577011590128</v>
      </c>
      <c r="I32" s="25"/>
    </row>
    <row r="33" spans="1:9" x14ac:dyDescent="0.2">
      <c r="A33" s="17" t="s">
        <v>77</v>
      </c>
      <c r="B33" s="17" t="s">
        <v>78</v>
      </c>
      <c r="C33" s="36">
        <v>8</v>
      </c>
      <c r="D33" s="17" t="s">
        <v>26</v>
      </c>
      <c r="F33" s="21" t="s">
        <v>138</v>
      </c>
      <c r="G33" s="21" t="s">
        <v>139</v>
      </c>
      <c r="H33" s="22">
        <f>H31/H32</f>
        <v>271.45908292512593</v>
      </c>
      <c r="I33" s="21" t="s">
        <v>81</v>
      </c>
    </row>
    <row r="34" spans="1:9" x14ac:dyDescent="0.2">
      <c r="A34" s="17" t="s">
        <v>82</v>
      </c>
      <c r="B34" s="17" t="s">
        <v>83</v>
      </c>
      <c r="C34" s="40">
        <v>2</v>
      </c>
      <c r="D34" s="17" t="s">
        <v>45</v>
      </c>
      <c r="F34" s="21" t="s">
        <v>140</v>
      </c>
      <c r="G34" s="21" t="s">
        <v>141</v>
      </c>
      <c r="H34" s="22">
        <f>(C37/100)*H31</f>
        <v>17.421314740839975</v>
      </c>
      <c r="I34" s="21" t="s">
        <v>81</v>
      </c>
    </row>
    <row r="35" spans="1:9" x14ac:dyDescent="0.2">
      <c r="A35" s="17" t="s">
        <v>142</v>
      </c>
      <c r="B35" s="17" t="s">
        <v>143</v>
      </c>
      <c r="C35" s="40">
        <v>0.5</v>
      </c>
      <c r="D35" s="17" t="s">
        <v>88</v>
      </c>
      <c r="F35" s="21" t="s">
        <v>89</v>
      </c>
      <c r="G35" s="21" t="s">
        <v>90</v>
      </c>
      <c r="H35" s="27">
        <f>C14*(C46/60)*(2000*C9/H3)</f>
        <v>496</v>
      </c>
      <c r="I35" s="21" t="s">
        <v>81</v>
      </c>
    </row>
    <row r="36" spans="1:9" x14ac:dyDescent="0.2">
      <c r="A36" s="17" t="s">
        <v>144</v>
      </c>
      <c r="B36" s="17" t="s">
        <v>145</v>
      </c>
      <c r="C36" s="39">
        <v>10</v>
      </c>
      <c r="D36" s="17" t="s">
        <v>93</v>
      </c>
      <c r="F36" s="21" t="s">
        <v>146</v>
      </c>
      <c r="G36" s="21" t="s">
        <v>147</v>
      </c>
      <c r="H36" s="24">
        <f>(1-1/(1+C11/100)^C39)/(C11/100)</f>
        <v>3.8896512633517197</v>
      </c>
      <c r="I36" s="25"/>
    </row>
    <row r="37" spans="1:9" x14ac:dyDescent="0.2">
      <c r="A37" s="17" t="s">
        <v>148</v>
      </c>
      <c r="B37" s="17" t="s">
        <v>149</v>
      </c>
      <c r="C37" s="36">
        <v>1</v>
      </c>
      <c r="D37" s="17" t="s">
        <v>98</v>
      </c>
      <c r="F37" s="21" t="s">
        <v>150</v>
      </c>
      <c r="G37" s="21" t="s">
        <v>151</v>
      </c>
      <c r="H37" s="27">
        <f>C38*H10/H36</f>
        <v>502.91510758113918</v>
      </c>
      <c r="I37" s="21" t="s">
        <v>81</v>
      </c>
    </row>
    <row r="38" spans="1:9" x14ac:dyDescent="0.2">
      <c r="A38" s="17" t="s">
        <v>152</v>
      </c>
      <c r="B38" s="17" t="s">
        <v>153</v>
      </c>
      <c r="C38" s="40">
        <v>7</v>
      </c>
      <c r="D38" s="17" t="s">
        <v>154</v>
      </c>
      <c r="F38" s="21" t="s">
        <v>94</v>
      </c>
      <c r="G38" s="21" t="s">
        <v>155</v>
      </c>
      <c r="H38" s="24">
        <f>(1-1/(1+C11/100)^C42)/(C11/100)</f>
        <v>3.8896512633517197</v>
      </c>
      <c r="I38" s="25"/>
    </row>
    <row r="39" spans="1:9" x14ac:dyDescent="0.2">
      <c r="A39" s="17" t="s">
        <v>156</v>
      </c>
      <c r="B39" s="17" t="s">
        <v>157</v>
      </c>
      <c r="C39" s="39">
        <v>5</v>
      </c>
      <c r="D39" s="17" t="s">
        <v>93</v>
      </c>
      <c r="F39" s="21" t="s">
        <v>99</v>
      </c>
      <c r="G39" s="21" t="s">
        <v>100</v>
      </c>
      <c r="H39" s="22">
        <f>(C40-C40*C41/100/(1+C11/100)^C42)/H38</f>
        <v>308.51094834809373</v>
      </c>
      <c r="I39" s="21" t="s">
        <v>81</v>
      </c>
    </row>
    <row r="40" spans="1:9" x14ac:dyDescent="0.2">
      <c r="A40" s="17" t="s">
        <v>105</v>
      </c>
      <c r="B40" s="17" t="s">
        <v>106</v>
      </c>
      <c r="C40" s="37">
        <v>1200</v>
      </c>
      <c r="D40" s="17" t="s">
        <v>73</v>
      </c>
      <c r="F40" s="21" t="s">
        <v>103</v>
      </c>
      <c r="G40" s="21" t="s">
        <v>104</v>
      </c>
      <c r="H40" s="22">
        <f>(C43/60)*(C9*2000/H3)*(C45*C12+C13)+(C44/100)*C40</f>
        <v>615.66666666666663</v>
      </c>
      <c r="I40" s="21" t="s">
        <v>81</v>
      </c>
    </row>
    <row r="41" spans="1:9" x14ac:dyDescent="0.2">
      <c r="A41" s="17" t="s">
        <v>109</v>
      </c>
      <c r="B41" s="17" t="s">
        <v>110</v>
      </c>
      <c r="C41" s="39">
        <v>0</v>
      </c>
      <c r="D41" s="17" t="s">
        <v>111</v>
      </c>
      <c r="F41" s="21" t="s">
        <v>107</v>
      </c>
      <c r="G41" s="21" t="s">
        <v>108</v>
      </c>
      <c r="H41" s="27">
        <f>C9*(H28*(1-C33/100)-H4*(1-C7/100))</f>
        <v>4339.2000000000025</v>
      </c>
      <c r="I41" s="21" t="s">
        <v>81</v>
      </c>
    </row>
    <row r="42" spans="1:9" x14ac:dyDescent="0.2">
      <c r="A42" s="17" t="s">
        <v>114</v>
      </c>
      <c r="B42" s="17" t="s">
        <v>115</v>
      </c>
      <c r="C42" s="39">
        <v>5</v>
      </c>
      <c r="D42" s="17" t="s">
        <v>93</v>
      </c>
      <c r="F42" s="21" t="s">
        <v>112</v>
      </c>
      <c r="G42" s="21" t="s">
        <v>113</v>
      </c>
      <c r="H42" s="27">
        <f>H39+H33+H37</f>
        <v>1082.885138854359</v>
      </c>
      <c r="I42" s="21" t="s">
        <v>81</v>
      </c>
    </row>
    <row r="43" spans="1:9" x14ac:dyDescent="0.2">
      <c r="A43" s="17" t="s">
        <v>118</v>
      </c>
      <c r="B43" s="17" t="s">
        <v>119</v>
      </c>
      <c r="C43" s="39">
        <v>10</v>
      </c>
      <c r="D43" s="17" t="s">
        <v>120</v>
      </c>
      <c r="F43" s="21" t="s">
        <v>116</v>
      </c>
      <c r="G43" s="21" t="s">
        <v>117</v>
      </c>
      <c r="H43" s="27">
        <f>H40+H34+H35</f>
        <v>1129.0879814075065</v>
      </c>
      <c r="I43" s="21" t="s">
        <v>81</v>
      </c>
    </row>
    <row r="44" spans="1:9" x14ac:dyDescent="0.2">
      <c r="A44" s="17" t="s">
        <v>122</v>
      </c>
      <c r="B44" s="17" t="s">
        <v>123</v>
      </c>
      <c r="C44" s="36">
        <v>2</v>
      </c>
      <c r="D44" s="17" t="s">
        <v>98</v>
      </c>
      <c r="F44" s="19"/>
      <c r="G44" s="20" t="s">
        <v>158</v>
      </c>
      <c r="H44" s="19"/>
      <c r="I44" s="19"/>
    </row>
    <row r="45" spans="1:9" x14ac:dyDescent="0.2">
      <c r="A45" s="17" t="s">
        <v>125</v>
      </c>
      <c r="B45" s="17" t="s">
        <v>126</v>
      </c>
      <c r="C45" s="40">
        <v>2.5</v>
      </c>
      <c r="D45" s="17" t="s">
        <v>127</v>
      </c>
      <c r="F45" s="21" t="s">
        <v>59</v>
      </c>
      <c r="G45" s="21" t="s">
        <v>159</v>
      </c>
      <c r="H45" s="23">
        <f>C8*(1-C50/100)-60*(C50/100)</f>
        <v>68.800000000000011</v>
      </c>
      <c r="I45" s="21" t="s">
        <v>14</v>
      </c>
    </row>
    <row r="46" spans="1:9" x14ac:dyDescent="0.2">
      <c r="A46" s="17" t="s">
        <v>129</v>
      </c>
      <c r="B46" s="17" t="s">
        <v>130</v>
      </c>
      <c r="C46" s="36">
        <v>12.4</v>
      </c>
      <c r="D46" s="17" t="s">
        <v>120</v>
      </c>
      <c r="F46" s="21" t="s">
        <v>62</v>
      </c>
      <c r="G46" s="21" t="s">
        <v>160</v>
      </c>
      <c r="H46" s="28">
        <f>C51/H9</f>
        <v>3.007652467878337E-2</v>
      </c>
      <c r="I46" s="21" t="s">
        <v>64</v>
      </c>
    </row>
    <row r="47" spans="1:9" x14ac:dyDescent="0.2">
      <c r="A47" s="18"/>
      <c r="B47" s="18"/>
      <c r="C47" s="18"/>
      <c r="D47" s="18"/>
      <c r="F47" s="21" t="s">
        <v>131</v>
      </c>
      <c r="G47" s="21" t="s">
        <v>132</v>
      </c>
      <c r="H47" s="22">
        <f>C9*H5/H46</f>
        <v>4645.6839308906601</v>
      </c>
      <c r="I47" s="21" t="s">
        <v>70</v>
      </c>
    </row>
    <row r="48" spans="1:9" x14ac:dyDescent="0.2">
      <c r="A48" s="18"/>
      <c r="B48" s="17" t="s">
        <v>161</v>
      </c>
      <c r="C48" s="18"/>
      <c r="D48" s="18"/>
      <c r="F48" s="21" t="s">
        <v>133</v>
      </c>
      <c r="G48" s="21" t="s">
        <v>162</v>
      </c>
      <c r="H48" s="27">
        <f>C52*H47</f>
        <v>2322.8419654453301</v>
      </c>
      <c r="I48" s="21" t="s">
        <v>73</v>
      </c>
    </row>
    <row r="49" spans="1:9" x14ac:dyDescent="0.2">
      <c r="A49" s="15"/>
      <c r="B49" s="16" t="s">
        <v>163</v>
      </c>
      <c r="C49" s="15"/>
      <c r="D49" s="15"/>
      <c r="F49" s="21" t="s">
        <v>136</v>
      </c>
      <c r="G49" s="21" t="s">
        <v>137</v>
      </c>
      <c r="H49" s="24">
        <f>(1-1/(1+C11/100)^C53)/(C11/100)</f>
        <v>6.4176577011590128</v>
      </c>
      <c r="I49" s="25"/>
    </row>
    <row r="50" spans="1:9" x14ac:dyDescent="0.2">
      <c r="A50" s="17" t="s">
        <v>77</v>
      </c>
      <c r="B50" s="17" t="s">
        <v>78</v>
      </c>
      <c r="C50" s="36">
        <v>8</v>
      </c>
      <c r="D50" s="17" t="s">
        <v>26</v>
      </c>
      <c r="F50" s="21" t="s">
        <v>138</v>
      </c>
      <c r="G50" s="21" t="s">
        <v>139</v>
      </c>
      <c r="H50" s="22">
        <f>H48/H49</f>
        <v>361.9454439001679</v>
      </c>
      <c r="I50" s="21" t="s">
        <v>81</v>
      </c>
    </row>
    <row r="51" spans="1:9" x14ac:dyDescent="0.2">
      <c r="A51" s="17" t="s">
        <v>82</v>
      </c>
      <c r="B51" s="17" t="s">
        <v>83</v>
      </c>
      <c r="C51" s="40">
        <v>1.5</v>
      </c>
      <c r="D51" s="17" t="s">
        <v>45</v>
      </c>
      <c r="F51" s="21" t="s">
        <v>140</v>
      </c>
      <c r="G51" s="21" t="s">
        <v>141</v>
      </c>
      <c r="H51" s="22">
        <f>(C54/100)*H48</f>
        <v>23.228419654453301</v>
      </c>
      <c r="I51" s="21" t="s">
        <v>81</v>
      </c>
    </row>
    <row r="52" spans="1:9" x14ac:dyDescent="0.2">
      <c r="A52" s="17" t="s">
        <v>142</v>
      </c>
      <c r="B52" s="17" t="s">
        <v>143</v>
      </c>
      <c r="C52" s="40">
        <v>0.5</v>
      </c>
      <c r="D52" s="17" t="s">
        <v>88</v>
      </c>
      <c r="F52" s="21" t="s">
        <v>89</v>
      </c>
      <c r="G52" s="21" t="s">
        <v>90</v>
      </c>
      <c r="H52" s="27">
        <f>C14*(C62/60)*(2000*C9/H3)</f>
        <v>399.99999999999994</v>
      </c>
      <c r="I52" s="21" t="s">
        <v>81</v>
      </c>
    </row>
    <row r="53" spans="1:9" x14ac:dyDescent="0.2">
      <c r="A53" s="17" t="s">
        <v>144</v>
      </c>
      <c r="B53" s="17" t="s">
        <v>145</v>
      </c>
      <c r="C53" s="39">
        <v>10</v>
      </c>
      <c r="D53" s="17" t="s">
        <v>93</v>
      </c>
      <c r="F53" s="21" t="s">
        <v>164</v>
      </c>
      <c r="G53" s="21" t="s">
        <v>165</v>
      </c>
      <c r="H53" s="22">
        <f>C55*(2000/H3)*C9</f>
        <v>1000</v>
      </c>
      <c r="I53" s="21" t="s">
        <v>81</v>
      </c>
    </row>
    <row r="54" spans="1:9" x14ac:dyDescent="0.2">
      <c r="A54" s="17" t="s">
        <v>148</v>
      </c>
      <c r="B54" s="17" t="s">
        <v>149</v>
      </c>
      <c r="C54" s="36">
        <v>1</v>
      </c>
      <c r="D54" s="17" t="s">
        <v>98</v>
      </c>
      <c r="F54" s="21" t="s">
        <v>94</v>
      </c>
      <c r="G54" s="21" t="s">
        <v>155</v>
      </c>
      <c r="H54" s="24">
        <f>(1-1/(1+C11/100)^C58)/(C11/100)</f>
        <v>3.8896512633517197</v>
      </c>
      <c r="I54" s="25"/>
    </row>
    <row r="55" spans="1:9" x14ac:dyDescent="0.2">
      <c r="A55" s="17" t="s">
        <v>166</v>
      </c>
      <c r="B55" s="17" t="s">
        <v>167</v>
      </c>
      <c r="C55" s="40">
        <v>2.5</v>
      </c>
      <c r="D55" s="17" t="s">
        <v>154</v>
      </c>
      <c r="F55" s="21" t="s">
        <v>99</v>
      </c>
      <c r="G55" s="21" t="s">
        <v>100</v>
      </c>
      <c r="H55" s="22">
        <f>(C56-C56*C57/100/(1+C11/100)^C58)/H54</f>
        <v>411.34793113079166</v>
      </c>
      <c r="I55" s="21" t="s">
        <v>81</v>
      </c>
    </row>
    <row r="56" spans="1:9" x14ac:dyDescent="0.2">
      <c r="A56" s="17" t="s">
        <v>105</v>
      </c>
      <c r="B56" s="17" t="s">
        <v>106</v>
      </c>
      <c r="C56" s="37">
        <v>1600</v>
      </c>
      <c r="D56" s="17" t="s">
        <v>73</v>
      </c>
      <c r="F56" s="21" t="s">
        <v>103</v>
      </c>
      <c r="G56" s="21" t="s">
        <v>104</v>
      </c>
      <c r="H56" s="22">
        <f>(C59/60)*(C9*2000/H3)*(C61*C12+C13)+(C60/100)*C56</f>
        <v>623.66666666666663</v>
      </c>
      <c r="I56" s="21" t="s">
        <v>81</v>
      </c>
    </row>
    <row r="57" spans="1:9" x14ac:dyDescent="0.2">
      <c r="A57" s="17" t="s">
        <v>109</v>
      </c>
      <c r="B57" s="17" t="s">
        <v>110</v>
      </c>
      <c r="C57" s="39">
        <v>0</v>
      </c>
      <c r="D57" s="17" t="s">
        <v>111</v>
      </c>
      <c r="F57" s="21" t="s">
        <v>107</v>
      </c>
      <c r="G57" s="21" t="s">
        <v>108</v>
      </c>
      <c r="H57" s="27">
        <f>C9*(H45*(1-C50/100)-H4*(1-C7/100))</f>
        <v>4339.2000000000025</v>
      </c>
      <c r="I57" s="21" t="s">
        <v>81</v>
      </c>
    </row>
    <row r="58" spans="1:9" x14ac:dyDescent="0.2">
      <c r="A58" s="17" t="s">
        <v>114</v>
      </c>
      <c r="B58" s="17" t="s">
        <v>115</v>
      </c>
      <c r="C58" s="39">
        <v>5</v>
      </c>
      <c r="D58" s="17" t="s">
        <v>93</v>
      </c>
      <c r="F58" s="21" t="s">
        <v>112</v>
      </c>
      <c r="G58" s="21" t="s">
        <v>113</v>
      </c>
      <c r="H58" s="27">
        <f>H55+H50</f>
        <v>773.29337503095962</v>
      </c>
      <c r="I58" s="21" t="s">
        <v>81</v>
      </c>
    </row>
    <row r="59" spans="1:9" x14ac:dyDescent="0.2">
      <c r="A59" s="17" t="s">
        <v>118</v>
      </c>
      <c r="B59" s="17" t="s">
        <v>119</v>
      </c>
      <c r="C59" s="39">
        <v>10</v>
      </c>
      <c r="D59" s="17" t="s">
        <v>120</v>
      </c>
      <c r="F59" s="21" t="s">
        <v>116</v>
      </c>
      <c r="G59" s="21" t="s">
        <v>117</v>
      </c>
      <c r="H59" s="27">
        <f>H56+H51+H53+H52</f>
        <v>2046.8950863211198</v>
      </c>
      <c r="I59" s="21" t="s">
        <v>81</v>
      </c>
    </row>
    <row r="60" spans="1:9" x14ac:dyDescent="0.2">
      <c r="A60" s="17" t="s">
        <v>122</v>
      </c>
      <c r="B60" s="17" t="s">
        <v>123</v>
      </c>
      <c r="C60" s="36">
        <v>2</v>
      </c>
      <c r="D60" s="17" t="s">
        <v>98</v>
      </c>
    </row>
    <row r="61" spans="1:9" x14ac:dyDescent="0.2">
      <c r="A61" s="17" t="s">
        <v>125</v>
      </c>
      <c r="B61" s="17" t="s">
        <v>126</v>
      </c>
      <c r="C61" s="40">
        <v>2.5</v>
      </c>
      <c r="D61" s="17" t="s">
        <v>127</v>
      </c>
    </row>
    <row r="62" spans="1:9" x14ac:dyDescent="0.2">
      <c r="A62" s="17" t="s">
        <v>129</v>
      </c>
      <c r="B62" s="17" t="s">
        <v>130</v>
      </c>
      <c r="C62" s="39">
        <v>10</v>
      </c>
      <c r="D62" s="17" t="s">
        <v>120</v>
      </c>
    </row>
    <row r="65" spans="1:4" x14ac:dyDescent="0.2">
      <c r="A65" s="29"/>
      <c r="B65" s="30" t="s">
        <v>168</v>
      </c>
      <c r="C65" s="29"/>
      <c r="D65" s="29"/>
    </row>
    <row r="67" spans="1:4" x14ac:dyDescent="0.2">
      <c r="A67" s="29"/>
      <c r="B67" s="30" t="s">
        <v>169</v>
      </c>
      <c r="C67" s="29"/>
      <c r="D67" s="29"/>
    </row>
    <row r="68" spans="1:4" ht="15" x14ac:dyDescent="0.25">
      <c r="A68" s="32" t="s">
        <v>170</v>
      </c>
      <c r="B68" s="32" t="s">
        <v>171</v>
      </c>
      <c r="C68" s="35">
        <f>H24-H25-H26</f>
        <v>1577.6052609171795</v>
      </c>
      <c r="D68" s="32" t="s">
        <v>81</v>
      </c>
    </row>
    <row r="69" spans="1:4" ht="15" x14ac:dyDescent="0.25">
      <c r="A69" s="32" t="s">
        <v>172</v>
      </c>
      <c r="B69" s="32" t="s">
        <v>173</v>
      </c>
      <c r="C69" s="34">
        <f>C68/C9</f>
        <v>7.8880263045858978</v>
      </c>
      <c r="D69" s="32" t="s">
        <v>14</v>
      </c>
    </row>
    <row r="70" spans="1:4" x14ac:dyDescent="0.2">
      <c r="A70" s="31"/>
      <c r="B70" s="31"/>
      <c r="C70" s="31"/>
      <c r="D70" s="31"/>
    </row>
    <row r="71" spans="1:4" x14ac:dyDescent="0.2">
      <c r="A71" s="29"/>
      <c r="B71" s="30" t="s">
        <v>174</v>
      </c>
      <c r="C71" s="29"/>
      <c r="D71" s="29"/>
    </row>
    <row r="72" spans="1:4" ht="15" x14ac:dyDescent="0.25">
      <c r="A72" s="32" t="s">
        <v>170</v>
      </c>
      <c r="B72" s="32" t="s">
        <v>175</v>
      </c>
      <c r="C72" s="33">
        <f>H41-H42-H43</f>
        <v>2127.2268797381371</v>
      </c>
      <c r="D72" s="32" t="s">
        <v>81</v>
      </c>
    </row>
    <row r="73" spans="1:4" ht="15" x14ac:dyDescent="0.25">
      <c r="A73" s="32" t="s">
        <v>172</v>
      </c>
      <c r="B73" s="32" t="s">
        <v>176</v>
      </c>
      <c r="C73" s="34">
        <f>C72/C9</f>
        <v>10.636134398690686</v>
      </c>
      <c r="D73" s="32" t="s">
        <v>14</v>
      </c>
    </row>
    <row r="74" spans="1:4" x14ac:dyDescent="0.2">
      <c r="A74" s="31"/>
      <c r="B74" s="31"/>
      <c r="C74" s="31"/>
      <c r="D74" s="31"/>
    </row>
    <row r="75" spans="1:4" x14ac:dyDescent="0.2">
      <c r="A75" s="29"/>
      <c r="B75" s="30" t="s">
        <v>177</v>
      </c>
      <c r="C75" s="29"/>
      <c r="D75" s="29"/>
    </row>
    <row r="76" spans="1:4" ht="15" x14ac:dyDescent="0.25">
      <c r="A76" s="32" t="s">
        <v>170</v>
      </c>
      <c r="B76" s="32" t="s">
        <v>178</v>
      </c>
      <c r="C76" s="33">
        <f>H57-H58-H59</f>
        <v>1519.0115386479233</v>
      </c>
      <c r="D76" s="32" t="s">
        <v>81</v>
      </c>
    </row>
    <row r="77" spans="1:4" ht="15" x14ac:dyDescent="0.25">
      <c r="A77" s="32" t="s">
        <v>172</v>
      </c>
      <c r="B77" s="32" t="s">
        <v>179</v>
      </c>
      <c r="C77" s="34">
        <f>C76/C9</f>
        <v>7.5950576932396165</v>
      </c>
      <c r="D77" s="32" t="s">
        <v>14</v>
      </c>
    </row>
  </sheetData>
  <sheetProtection sheet="1" objects="1" scenarios="1"/>
  <printOptions gridLinesSet="0"/>
  <pageMargins left="0.75" right="0.75" top="1" bottom="1" header="0.5" footer="0.5"/>
  <pageSetup orientation="portrait" horizontalDpi="0" verticalDpi="0" copies="0"/>
  <headerFooter alignWithMargins="0">
    <oddHeader>&amp;LPSU HAY STORAGE EVALUATOR, DEPT OF AG &amp; BIO ENGINEERING   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ReadMe-Orientation</vt:lpstr>
      <vt:lpstr>HAYSTOR</vt:lpstr>
      <vt:lpstr>HAYSTOR!Print_Area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R. Buckmaster</dc:creator>
  <cp:keywords/>
  <dc:description/>
  <cp:lastModifiedBy>Dennis Buckmaster</cp:lastModifiedBy>
  <dcterms:created xsi:type="dcterms:W3CDTF">2007-05-03T19:31:13Z</dcterms:created>
  <dcterms:modified xsi:type="dcterms:W3CDTF">2021-12-22T15:01:08Z</dcterms:modified>
</cp:coreProperties>
</file>