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trlProps/ctrlProp2.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outreach\"/>
    </mc:Choice>
  </mc:AlternateContent>
  <xr:revisionPtr revIDLastSave="0" documentId="13_ncr:1_{5B1E9A3C-1729-48E4-ABDF-AB98BE801908}" xr6:coauthVersionLast="47" xr6:coauthVersionMax="47" xr10:uidLastSave="{00000000-0000-0000-0000-000000000000}"/>
  <bookViews>
    <workbookView xWindow="-120" yWindow="-120" windowWidth="29040" windowHeight="15840" activeTab="3" xr2:uid="{F9619302-3B6D-4982-9C5C-B92A3BB776AD}"/>
  </bookViews>
  <sheets>
    <sheet name="ReadMe-Orientation" sheetId="6" r:id="rId1"/>
    <sheet name="recommendation tool" sheetId="1" r:id="rId2"/>
    <sheet name="DVlists" sheetId="3" state="hidden" r:id="rId3"/>
    <sheet name="FertCosts" sheetId="5" r:id="rId4"/>
    <sheet name="lime model" sheetId="4" state="hidden" r:id="rId5"/>
  </sheets>
  <externalReferences>
    <externalReference r:id="rId6"/>
    <externalReference r:id="rId7"/>
  </externalReferences>
  <definedNames>
    <definedName name="A">'[1]By-Field'!$B$49:$XFD$49</definedName>
    <definedName name="angles">[2]support_data!$A$11:$D$17</definedName>
    <definedName name="ar">'[2]Round Bin Inventory'!$B$9:$XFD$9</definedName>
    <definedName name="are">'[2]Flat Storage Inventory'!$B$12:$XFD$12</definedName>
    <definedName name="arf">'[2]Flat Storage Inventory'!$B$11:$XFD$11</definedName>
    <definedName name="bi">'recommendation tool'!$B$17:$XFD$17</definedName>
    <definedName name="C_">FertCosts!$E$17:$XFD$17</definedName>
    <definedName name="CA">'[2]Round Bin Inventory'!$B$12:$XFD$12</definedName>
    <definedName name="cb">'recommendation tool'!$B$28:$XFD$28</definedName>
    <definedName name="cc">'recommendation tool'!$B$29:$XFD$29</definedName>
    <definedName name="CCC">'[1]By-Field'!$B$56:$XFD$56</definedName>
    <definedName name="CCP">'[1]By-Field'!$B$32:$XFD$32</definedName>
    <definedName name="CCS">'[1]By-Field'!$B$31:$XFD$31</definedName>
    <definedName name="CCT">'[1]By-Field'!$B$33:$XFD$33</definedName>
    <definedName name="cec">'recommendation tool'!$B$14:$XFD$14</definedName>
    <definedName name="CH">'[2]Round Bin Inventory'!$B$11:$XFD$11</definedName>
    <definedName name="CI">'[1]By-Field'!$B$27:$XFD$27</definedName>
    <definedName name="co">'[2]Round Bin Inventory'!$B$8:$XFD$8</definedName>
    <definedName name="cone_options">[2]support_data!$A$4:$B$6</definedName>
    <definedName name="CONVERSIONS">'recommendation tool'!$B$24:$XFD$24</definedName>
    <definedName name="cot">'[2]Flat Storage Inventory'!$B$7:$XFD$7</definedName>
    <definedName name="cov">'[2]Flat Storage Inventory'!$B$15:$XFD$15</definedName>
    <definedName name="CPA">FertCosts!$B$17:$XFD$17</definedName>
    <definedName name="cr">'recommendation tool'!$B$4:$XFD$4</definedName>
    <definedName name="crops" localSheetId="0">[2]support_data!$A$11:$A$17</definedName>
    <definedName name="crops">DVlists!$A$2:$E$6</definedName>
    <definedName name="ct">'[2]Round Bin Inventory'!$B$2:$XFD$2</definedName>
    <definedName name="ctf">'[2]Flat Storage Inventory'!$B$2:$XFD$2</definedName>
    <definedName name="CV">'[2]Round Bin Inventory'!$B$10:$XFD$10</definedName>
    <definedName name="D">'[2]Round Bin Inventory'!$B$3:$XFD$3</definedName>
    <definedName name="DC">'[1]By-Field'!$B$44:$XFD$44</definedName>
    <definedName name="DRI">'[1]By-Field'!$B$35:$XFD$35</definedName>
    <definedName name="fcides">[1]Inputs!$B$144:$E$153</definedName>
    <definedName name="FERTILIZER_COMPOSITION_AND_PRICE_TABLE">FertCosts!$B$20:$XFD$20</definedName>
    <definedName name="ferts">[1]Inputs!$B$44:$I$73</definedName>
    <definedName name="fields">[1]Fields!$B$4:$E$73</definedName>
    <definedName name="Flizers">FertCosts!$A$22:$F$39</definedName>
    <definedName name="FNC">'[1]By-Field'!$B$55:$XFD$55</definedName>
    <definedName name="FTC">'[1]By-Field'!$B$52:$XFD$52</definedName>
    <definedName name="Ftypes">FertCosts!$A$22:$A$39</definedName>
    <definedName name="H" localSheetId="0">'[2]Flat Storage Inventory'!$B$5:$XFD$5</definedName>
    <definedName name="H">'[1]By-Field'!$B$41:$XFD$41</definedName>
    <definedName name="HC">'[1]By-Field'!$B$53:$XFD$53</definedName>
    <definedName name="hcides">[1]Inputs!$B$84:$E$113</definedName>
    <definedName name="HL" localSheetId="3">'[1]By-Field'!#REF!</definedName>
    <definedName name="HL">'[1]By-Field'!#REF!</definedName>
    <definedName name="IC">'[1]By-Field'!$B$54:$XFD$54</definedName>
    <definedName name="icides">[1]Inputs!$B$124:$E$133</definedName>
    <definedName name="INPUTS" localSheetId="3">FertCosts!$B$3:$XFD$3</definedName>
    <definedName name="INPUTS">'recommendation tool'!$B$3:$XFD$3</definedName>
    <definedName name="INregions">DVlists!$A$50:$D$58</definedName>
    <definedName name="int" localSheetId="3">'[1]By-Field'!#REF!</definedName>
    <definedName name="int">'[1]By-Field'!#REF!</definedName>
    <definedName name="IR">'[1]By-Field'!$B$36:$XFD$36</definedName>
    <definedName name="K" localSheetId="3">FertCosts!$B$15:$XFD$15</definedName>
    <definedName name="K">'recommendation tool'!$B$33:$XFD$33</definedName>
    <definedName name="L" localSheetId="0">'[2]Flat Storage Inventory'!$B$3:$XFD$3</definedName>
    <definedName name="l">'recommendation tool'!$B$34:$XFD$34</definedName>
    <definedName name="LC">'[1]By-Field'!$B$14:$XFD$14</definedName>
    <definedName name="llk">'recommendation tool'!$B$21:$XFD$21</definedName>
    <definedName name="llp">'recommendation tool'!$B$22:$XFD$22</definedName>
    <definedName name="MC">'[1]By-Field'!$B$58:$XFD$58</definedName>
    <definedName name="MKp">'recommendation tool'!$B$26:$XFD$26</definedName>
    <definedName name="MPp">'recommendation tool'!$B$25:$XFD$25</definedName>
    <definedName name="N" localSheetId="3">FertCosts!$B$13:$XFD$13</definedName>
    <definedName name="N">'[1]By-Field'!$B$3:$XFD$3</definedName>
    <definedName name="Name">FertCosts!$B$21:$XFD$21</definedName>
    <definedName name="Npr">'recommendation tool'!$B$27:$XFD$27</definedName>
    <definedName name="nw">'[2]Flat Storage Inventory'!$B$6:$XFD$6</definedName>
    <definedName name="OI_1">'[1]By-Field'!$B$9:$XFD$9</definedName>
    <definedName name="OI_2">'[1]By-Field'!$B$10:$XFD$10</definedName>
    <definedName name="OM">'[1]By-Field'!$B$42:$XFD$42</definedName>
    <definedName name="OMI">'[1]By-Field'!$B$29:$XFD$29</definedName>
    <definedName name="OPTIONAL_INPUTS">'recommendation tool'!$B$20:$XFD$20</definedName>
    <definedName name="OUTPUTS" localSheetId="3">FertCosts!$B$12:$XFD$12</definedName>
    <definedName name="OUTPUTS">'recommendation tool'!$B$31:$XFD$31</definedName>
    <definedName name="P" localSheetId="3">FertCosts!$B$14:$XFD$14</definedName>
    <definedName name="P">'recommendation tool'!$B$32:$XFD$32</definedName>
    <definedName name="pc">'recommendation tool'!$B$16:$XFD$16</definedName>
    <definedName name="PH" localSheetId="0">'[2]Round Bin Inventory'!$B$4:$XFD$4</definedName>
    <definedName name="ph">'recommendation tool'!$B$10:$XFD$10</definedName>
    <definedName name="phb">'recommendation tool'!$B$9:$XFD$9</definedName>
    <definedName name="PHC">'[1]By-Field'!$B$59:$XFD$59</definedName>
    <definedName name="pht">'recommendation tool'!$B$11:$XFD$11</definedName>
    <definedName name="PN">'recommendation tool'!$B$18:$XFD$18</definedName>
    <definedName name="R_1">FertCosts!$B$5:$XFD$5</definedName>
    <definedName name="R_2">FertCosts!$B$7:$XFD$7</definedName>
    <definedName name="R_3">FertCosts!$B$9:$XFD$9</definedName>
    <definedName name="R_4">FertCosts!$B$11:$XFD$11</definedName>
    <definedName name="reg">'recommendation tool'!$B$15:$XFD$15</definedName>
    <definedName name="RPA">'[1]By-Field'!$B$66:$XFD$66</definedName>
    <definedName name="rpv">'[2]Flat Storage Inventory'!$B$10:$XFD$10</definedName>
    <definedName name="S" localSheetId="3">FertCosts!$B$16:$XFD$16</definedName>
    <definedName name="S">'[1]By-Field'!$B$28:$XFD$28</definedName>
    <definedName name="SC">'[1]By-Field'!$B$45:$XFD$45</definedName>
    <definedName name="SEC">'[1]By-Field'!$B$51:$XFD$51</definedName>
    <definedName name="seeds">[1]Inputs!$B$4:$H$33</definedName>
    <definedName name="SP">'[1]By-Field'!$B$7:$XFD$7</definedName>
    <definedName name="SS">'[1]By-Field'!$B$40:$XFD$40</definedName>
    <definedName name="st">'recommendation tool'!$B$6:$XFD$6</definedName>
    <definedName name="stk">'recommendation tool'!$B$13:$XFD$13</definedName>
    <definedName name="STOC">'[1]By-Field'!$B$63:$XFD$63</definedName>
    <definedName name="stp">'recommendation tool'!$B$12:$XFD$12</definedName>
    <definedName name="stt">'recommendation tool'!$B$7:$XFD$7</definedName>
    <definedName name="stu">'recommendation tool'!$B$8:$XFD$8</definedName>
    <definedName name="T">'[1]By-Field'!$B$38:$XFD$38</definedName>
    <definedName name="T_1">FertCosts!$B$4:$XFD$4</definedName>
    <definedName name="T_2">FertCosts!$B$6:$XFD$6</definedName>
    <definedName name="T_3">FertCosts!$B$8:$XFD$8</definedName>
    <definedName name="T_4">FertCosts!$B$10:$XFD$10</definedName>
    <definedName name="TC">'[1]By-Field'!$B$46:$XFD$46</definedName>
    <definedName name="test_units">DVlists!$A$13:$I$14</definedName>
    <definedName name="TI">'[1]By-Field'!$B$62:$XFD$62</definedName>
    <definedName name="top_surface">[2]support_data!$A$4:$A$6</definedName>
    <definedName name="ts">'[2]Round Bin Inventory'!$B$5:$XFD$5</definedName>
    <definedName name="Vc">'recommendation tool'!$B$19:$XFD$19</definedName>
    <definedName name="W">'[2]Flat Storage Inventory'!$B$4:$XFD$4</definedName>
    <definedName name="wae">'[2]Flat Storage Inventory'!$B$14:$XFD$14</definedName>
    <definedName name="waf">'[2]Flat Storage Inventory'!$B$13:$XFD$13</definedName>
    <definedName name="wedge_adj">[2]support_data!$A$21:$D$25</definedName>
    <definedName name="wedges">[2]support_data!$A$21:$A$25</definedName>
    <definedName name="WF_1">'[1]By-Field'!$B$16:$XFD$16</definedName>
    <definedName name="WF_2">'[1]By-Field'!$B$17:$XFD$17</definedName>
    <definedName name="WF_3">'[1]By-Field'!$B$18:$XFD$18</definedName>
    <definedName name="WF_4">'[1]By-Field'!$B$19:$XFD$19</definedName>
    <definedName name="WFC_1">'[1]By-Field'!$B$25:$XFD$25</definedName>
    <definedName name="WFC_2">'[1]By-Field'!$B$26:$XFD$26</definedName>
    <definedName name="WHC_1">'[1]By-Field'!$B$20:$XFD$20</definedName>
    <definedName name="WHC_2">'[1]By-Field'!$B$21:$XFD$21</definedName>
    <definedName name="WHC_3">'[1]By-Field'!$B$22:$XFD$22</definedName>
    <definedName name="whichfcide">[1]Inputs!$B$144:$B$153</definedName>
    <definedName name="whichfert">[1]Inputs!$B$44:$B$73</definedName>
    <definedName name="whichfield">[1]Fields!$B$4:$B$73</definedName>
    <definedName name="whichhcide">[1]Inputs!$B$84:$B$113</definedName>
    <definedName name="whichicide">[1]Inputs!$B$124:$B$133</definedName>
    <definedName name="whichseed">[1]Inputs!$B$4:$B$33</definedName>
    <definedName name="WIC_1">'[1]By-Field'!$B$23:$XFD$23</definedName>
    <definedName name="WIC_2">'[1]By-Field'!$B$24:$XFD$24</definedName>
    <definedName name="WMC">'[1]By-Field'!$B$57:$XFD$57</definedName>
    <definedName name="WS">'[1]By-Field'!$B$15:$XFD$15</definedName>
    <definedName name="Y">'[1]By-Field'!$B$6:$XFD$6</definedName>
    <definedName name="yg">'recommendation tool'!$B$5:$XFD$5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 i="5" l="1"/>
  <c r="F16" i="5"/>
  <c r="F15" i="5"/>
  <c r="F14" i="5"/>
  <c r="F13" i="5"/>
  <c r="C34" i="1"/>
  <c r="G39" i="5"/>
  <c r="G38" i="5"/>
  <c r="G37" i="5"/>
  <c r="G36" i="5"/>
  <c r="G35" i="5"/>
  <c r="G34" i="5"/>
  <c r="G33" i="5"/>
  <c r="G32" i="5"/>
  <c r="G31" i="5"/>
  <c r="G30" i="5"/>
  <c r="G29" i="5"/>
  <c r="G28" i="5"/>
  <c r="G27" i="5"/>
  <c r="G26" i="5"/>
  <c r="G25" i="5"/>
  <c r="G24" i="5"/>
  <c r="G23" i="5"/>
  <c r="G22" i="5"/>
  <c r="G17" i="5"/>
  <c r="E17" i="5"/>
  <c r="D17" i="5"/>
  <c r="G16" i="5"/>
  <c r="E16" i="5"/>
  <c r="D16" i="5"/>
  <c r="G15" i="5"/>
  <c r="E15" i="5"/>
  <c r="D15" i="5"/>
  <c r="G14" i="5"/>
  <c r="E14" i="5"/>
  <c r="D14" i="5"/>
  <c r="G13" i="5"/>
  <c r="E13" i="5"/>
  <c r="D13" i="5"/>
  <c r="A26" i="3" l="1"/>
  <c r="A25" i="3"/>
  <c r="C29" i="1" l="1"/>
  <c r="C28" i="1"/>
  <c r="C27" i="1"/>
  <c r="C35" i="1" l="1"/>
  <c r="B26" i="4"/>
  <c r="E26" i="4" s="1"/>
  <c r="B18" i="4"/>
  <c r="E18" i="4" s="1"/>
  <c r="B10" i="4"/>
  <c r="E10" i="4" s="1"/>
  <c r="D26" i="4" l="1"/>
  <c r="A27" i="4"/>
  <c r="D18" i="4"/>
  <c r="A19" i="4"/>
  <c r="D19" i="4" s="1"/>
  <c r="D10" i="4"/>
  <c r="A11" i="4"/>
  <c r="E7" i="4"/>
  <c r="D7" i="4"/>
  <c r="E6" i="4"/>
  <c r="D6" i="4"/>
  <c r="E5" i="4"/>
  <c r="D5" i="4"/>
  <c r="E4" i="4"/>
  <c r="D4" i="4"/>
  <c r="E3" i="4"/>
  <c r="D3" i="4"/>
  <c r="C7" i="4"/>
  <c r="C6" i="4"/>
  <c r="C5" i="4"/>
  <c r="C4" i="4"/>
  <c r="C3" i="4"/>
  <c r="A28" i="4" l="1"/>
  <c r="B27" i="4"/>
  <c r="E27" i="4" s="1"/>
  <c r="D11" i="4"/>
  <c r="B11" i="4"/>
  <c r="E11" i="4" s="1"/>
  <c r="D27" i="4"/>
  <c r="A20" i="4"/>
  <c r="B19" i="4"/>
  <c r="E19" i="4" s="1"/>
  <c r="A12" i="4"/>
  <c r="C25" i="1"/>
  <c r="C26" i="1"/>
  <c r="C33" i="1" s="1"/>
  <c r="A29" i="4" l="1"/>
  <c r="B28" i="4"/>
  <c r="E28" i="4" s="1"/>
  <c r="D28" i="4"/>
  <c r="A13" i="4"/>
  <c r="D13" i="4" s="1"/>
  <c r="B12" i="4"/>
  <c r="E12" i="4" s="1"/>
  <c r="A21" i="4"/>
  <c r="B20" i="4"/>
  <c r="E20" i="4" s="1"/>
  <c r="D20" i="4"/>
  <c r="D12" i="4"/>
  <c r="A47" i="3"/>
  <c r="A46" i="3"/>
  <c r="A43" i="3"/>
  <c r="A42" i="3"/>
  <c r="A34" i="3"/>
  <c r="A33" i="3"/>
  <c r="A30" i="3"/>
  <c r="A29" i="3"/>
  <c r="I14" i="3"/>
  <c r="H14" i="3"/>
  <c r="G14" i="3"/>
  <c r="F14" i="3"/>
  <c r="D22" i="1"/>
  <c r="C32" i="1" s="1"/>
  <c r="D21" i="1"/>
  <c r="E14" i="3"/>
  <c r="D14" i="3"/>
  <c r="C14" i="3"/>
  <c r="B14" i="3"/>
  <c r="D13" i="1"/>
  <c r="D12" i="1"/>
  <c r="A21" i="3"/>
  <c r="A22" i="3"/>
  <c r="A14" i="4" l="1"/>
  <c r="B13" i="4"/>
  <c r="E13" i="4"/>
  <c r="A30" i="4"/>
  <c r="B29" i="4"/>
  <c r="E29" i="4"/>
  <c r="D29" i="4"/>
  <c r="A22" i="4"/>
  <c r="B21" i="4"/>
  <c r="E21" i="4" s="1"/>
  <c r="D21" i="4"/>
  <c r="A23" i="4" l="1"/>
  <c r="B22" i="4"/>
  <c r="E22" i="4" s="1"/>
  <c r="D22" i="4"/>
  <c r="A31" i="4"/>
  <c r="B30" i="4"/>
  <c r="E30" i="4" s="1"/>
  <c r="D30" i="4"/>
  <c r="A15" i="4"/>
  <c r="B14" i="4"/>
  <c r="E14" i="4" s="1"/>
  <c r="D14" i="4"/>
  <c r="A16" i="4" l="1"/>
  <c r="B15" i="4"/>
  <c r="E15" i="4" s="1"/>
  <c r="D15" i="4"/>
  <c r="A32" i="4"/>
  <c r="B31" i="4"/>
  <c r="E31" i="4" s="1"/>
  <c r="D31" i="4"/>
  <c r="A24" i="4"/>
  <c r="B23" i="4"/>
  <c r="E23" i="4" s="1"/>
  <c r="D23" i="4"/>
  <c r="A25" i="4" l="1"/>
  <c r="B24" i="4"/>
  <c r="E24" i="4" s="1"/>
  <c r="D24" i="4"/>
  <c r="A33" i="4"/>
  <c r="B32" i="4"/>
  <c r="E32" i="4" s="1"/>
  <c r="D32" i="4"/>
  <c r="A17" i="4"/>
  <c r="E16" i="4"/>
  <c r="B16" i="4"/>
  <c r="D16" i="4"/>
  <c r="D17" i="4" l="1"/>
  <c r="B17" i="4"/>
  <c r="E17" i="4" s="1"/>
  <c r="B33" i="4"/>
  <c r="E33" i="4" s="1"/>
  <c r="D33" i="4"/>
  <c r="B25" i="4"/>
  <c r="E25" i="4" s="1"/>
  <c r="D2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Dennis Buckmaster</author>
    <author>Buckmaster, Dennis</author>
  </authors>
  <commentList>
    <comment ref="A2" authorId="0" shapeId="0" xr:uid="{606B7C58-5C16-46E1-9107-54680CA67C01}">
      <text>
        <r>
          <rPr>
            <b/>
            <sz val="12"/>
            <color indexed="81"/>
            <rFont val="Arial"/>
            <family val="2"/>
          </rPr>
          <t>October 2021
Developed by
  Dennis Buckmaster, Purdue ABE
  James Camberato, Purdue AGRY</t>
        </r>
        <r>
          <rPr>
            <sz val="12"/>
            <color indexed="81"/>
            <rFont val="Arial"/>
            <family val="2"/>
          </rPr>
          <t xml:space="preserve">
This is a compact and user-friendly implementation of the 56 page Bulletin 974 Tri-State Fertilizer Recommendations:
https://ag.purdue.edu/agry/soilfertility/Documents/Tri-State%20Fertilizer%20Recommendations.pdf
this tool may be freely used, refined, updated as long as credit to the source is given.
It is protected to prevent inadvertent changes, but the protection is without password so that those inclined and suitably knowledgeable may customize the tool. For those that want to edit, note there are two hidden sheets working in the background.</t>
        </r>
      </text>
    </comment>
    <comment ref="C11" authorId="1" shapeId="0" xr:uid="{B7816E93-B4D1-48C1-B909-A32B0C43FD94}">
      <text>
        <r>
          <rPr>
            <b/>
            <sz val="9"/>
            <color indexed="81"/>
            <rFont val="Tahoma"/>
            <family val="2"/>
          </rPr>
          <t>this is not needed for organic soils - we assume 5.3</t>
        </r>
      </text>
    </comment>
    <comment ref="C17" authorId="1" shapeId="0" xr:uid="{77F1BBD9-234B-422E-9FCC-39F6823B30FB}">
      <text>
        <r>
          <rPr>
            <b/>
            <sz val="9"/>
            <color indexed="81"/>
            <rFont val="Tahoma"/>
            <family val="2"/>
          </rPr>
          <t>4 years is recommended.</t>
        </r>
      </text>
    </comment>
    <comment ref="C18" authorId="1" shapeId="0" xr:uid="{6E465B17-25D8-4333-A322-5164E0E80BA7}">
      <text>
        <r>
          <rPr>
            <b/>
            <sz val="9"/>
            <color indexed="81"/>
            <rFont val="Tahoma"/>
            <family val="2"/>
          </rPr>
          <t>See table in FertCosts sheet. Specifically, the range G21:G36.</t>
        </r>
      </text>
    </comment>
    <comment ref="C28" authorId="1" shapeId="0" xr:uid="{20487883-B92C-4A8F-A9D0-BCE6629409E4}">
      <text>
        <r>
          <rPr>
            <b/>
            <sz val="9"/>
            <color indexed="81"/>
            <rFont val="Tahoma"/>
            <family val="2"/>
          </rPr>
          <t>N recommendations are based on:
https://www.agry.purdue.edu/ext/corn/news/timeless/NitrogenMgmt.pdf</t>
        </r>
      </text>
    </comment>
    <comment ref="C29" authorId="1" shapeId="0" xr:uid="{E84BEA52-0A43-4B81-A290-6790788C07A1}">
      <text>
        <r>
          <rPr>
            <b/>
            <sz val="9"/>
            <color indexed="81"/>
            <rFont val="Tahoma"/>
            <family val="2"/>
          </rPr>
          <t>N recommendations are based on:
https://www.agry.purdue.edu/ext/corn/news/timeless/NitrogenMgmt.pdf</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Dennis Buckmaster</author>
    <author>Buckmaster, Dennis</author>
  </authors>
  <commentList>
    <comment ref="A2" authorId="0" shapeId="0" xr:uid="{8D8ECE65-319E-4821-BE19-15FA56A160E6}">
      <text>
        <r>
          <rPr>
            <b/>
            <sz val="12"/>
            <color indexed="81"/>
            <rFont val="Arial"/>
            <family val="2"/>
          </rPr>
          <t xml:space="preserve">October 2021
Developed by Dennis Buckmaster, Purdue ABE
</t>
        </r>
        <r>
          <rPr>
            <sz val="12"/>
            <color indexed="81"/>
            <rFont val="Arial"/>
            <family val="2"/>
          </rPr>
          <t xml:space="preserve">
This tool may be freely used, refined, updated as long as credit to the source is given.
It is protected to prevent inadvertent changes, but the protection is without password so that those inclined and suitably knowledgeable may customize the tool. For those that want to edit, note there are two hidden sheets working in the background.
Refer to soil test recommendations to determine target nutrient delivery. This tool does not automatically optimize, but can be useful to assist with calculations regarding nutrient applications and cost with assorted fertilizer combinations.
For those who might use the Purdue Crop Planner (https://ag.purdue.edu/digital-ag-resources/purdue-crop-planning-tool/), the results of this cost analysis can assist with  good values for the FERTILIZER LIST table in the Inputs sheet.
All cells other than inputs (light green) and prices (light blue) are protected so you can't accidently "mess it up", but you can unprotect without password to tailor this if you have the knowledge and interest.</t>
        </r>
      </text>
    </comment>
    <comment ref="A20" authorId="0" shapeId="0" xr:uid="{57E49F6F-DA02-4677-8B18-1288B83A50E4}">
      <text>
        <r>
          <rPr>
            <b/>
            <sz val="9"/>
            <color indexed="81"/>
            <rFont val="Tahoma"/>
            <family val="2"/>
          </rPr>
          <t>A22:A39 is named Ftypes for data validation purposes
A22:F39 is named Flizers for lookup purposes.</t>
        </r>
      </text>
    </comment>
    <comment ref="F21" authorId="0" shapeId="0" xr:uid="{858456A5-D15F-46D7-891E-D75935F51B17}">
      <text>
        <r>
          <rPr>
            <b/>
            <sz val="9"/>
            <color indexed="81"/>
            <rFont val="Tahoma"/>
            <family val="2"/>
          </rPr>
          <t>This column should be updated with your actual or projected prices.</t>
        </r>
      </text>
    </comment>
    <comment ref="A31" authorId="1" shapeId="0" xr:uid="{914F67E4-90F7-44FC-817A-E96EC2E48F2E}">
      <text>
        <r>
          <rPr>
            <b/>
            <sz val="9"/>
            <color indexed="81"/>
            <rFont val="Tahoma"/>
            <family val="2"/>
          </rPr>
          <t>Although liquid, note price is $/ton in column E to make this tool simpler. To convert …
tons of 10-34-0 = gallons of 10-34-0 divided by 172 
because (2000 lb/ton / 11.65 lb/gal = 172 gal/ton)</t>
        </r>
      </text>
    </comment>
    <comment ref="A34" authorId="1" shapeId="0" xr:uid="{E5DE8EEE-8279-4967-BD49-C6999F5F059C}">
      <text>
        <r>
          <rPr>
            <b/>
            <sz val="9"/>
            <color indexed="81"/>
            <rFont val="Tahoma"/>
            <family val="2"/>
          </rPr>
          <t>Although liquid, note price is $/ton in column E to make this tool simpler. To convert …
tons of 10-34-0 = gallons of 10-34-0 divided by 180
because (2000 lb/ton / 11.11 lb/gal = 180 gal/ton)</t>
        </r>
      </text>
    </comment>
    <comment ref="A35" authorId="1" shapeId="0" xr:uid="{ABD15001-2FAA-47B8-9208-0D11D56A75EA}">
      <text>
        <r>
          <rPr>
            <b/>
            <sz val="9"/>
            <color indexed="81"/>
            <rFont val="Tahoma"/>
            <family val="2"/>
          </rPr>
          <t>Although liquid, note price is $/ton in column E to make this tool simpler. To convert …
tons of 10-34-0 = gallons of 10-34-0 divided by 182 
because (2000 lb/ton / 11 lb/gal = 182 gal/ton)</t>
        </r>
      </text>
    </comment>
    <comment ref="A36" authorId="0" shapeId="0" xr:uid="{2277AF10-3734-442E-A221-5D0081D247B9}">
      <text>
        <r>
          <rPr>
            <b/>
            <sz val="9"/>
            <color indexed="81"/>
            <rFont val="Tahoma"/>
            <family val="2"/>
          </rPr>
          <t>Although liquid, note price is $/ton in column E to make this tool simpler. To convert …
tons of 12-0-0 = gallons of 12-0-0 divided by 182 
because (2000 lb/ton / 11 lb/gal = 182 gal/ton)</t>
        </r>
      </text>
    </comment>
  </commentList>
</comments>
</file>

<file path=xl/sharedStrings.xml><?xml version="1.0" encoding="utf-8"?>
<sst xmlns="http://schemas.openxmlformats.org/spreadsheetml/2006/main" count="314" uniqueCount="256">
  <si>
    <t>INPUTS</t>
  </si>
  <si>
    <t>soil test type</t>
  </si>
  <si>
    <t>soil test units</t>
  </si>
  <si>
    <t>crop</t>
  </si>
  <si>
    <t>yield goal</t>
  </si>
  <si>
    <t>soil type</t>
  </si>
  <si>
    <t>$/bu</t>
  </si>
  <si>
    <t>previous crop</t>
  </si>
  <si>
    <t>buildup intentions</t>
  </si>
  <si>
    <t>cation exchange capacity</t>
  </si>
  <si>
    <t>FERTILIZER COMPOSITION AND PRICE TABLE</t>
  </si>
  <si>
    <t>Name</t>
  </si>
  <si>
    <t>N (fraction)</t>
  </si>
  <si>
    <t>P2O5 (fraction)</t>
  </si>
  <si>
    <t>K20 (fraction)</t>
  </si>
  <si>
    <t>S (fraction)</t>
  </si>
  <si>
    <t>Price ($/ton)</t>
  </si>
  <si>
    <t>82-0-0, anhydrous ammonia</t>
  </si>
  <si>
    <t>46-0-0, urea</t>
  </si>
  <si>
    <t>33.5-0-0, ammonium nitrate</t>
  </si>
  <si>
    <t>32-0-0, 32% urea ammonium nitrate</t>
  </si>
  <si>
    <t>28-0-0, 28% urea ammonium nitrate</t>
  </si>
  <si>
    <t>21-0-0, ammonium sulfate</t>
  </si>
  <si>
    <t>18-46-0, diammonium phosphate</t>
  </si>
  <si>
    <t>16-20-0, ammonium phosphate sulfate</t>
  </si>
  <si>
    <t>11-52-0, monoammonium phosphate</t>
  </si>
  <si>
    <t>10-34-0, ammonium polyphosphate</t>
  </si>
  <si>
    <t>0-46-0, triple superphosphate</t>
  </si>
  <si>
    <t>0-0-60, muriate of potash</t>
  </si>
  <si>
    <t>9-18-9, starter</t>
  </si>
  <si>
    <t>7-21-7, starter</t>
  </si>
  <si>
    <t>12-0-0. ammonium thiosulfate</t>
  </si>
  <si>
    <t>0-0-0-17, ground gypsum</t>
  </si>
  <si>
    <t>0-0-0-17, pelleted gypsum</t>
  </si>
  <si>
    <t>corn</t>
  </si>
  <si>
    <t>soybeans</t>
  </si>
  <si>
    <t>ppm</t>
  </si>
  <si>
    <t>lb/ac</t>
  </si>
  <si>
    <t>c</t>
  </si>
  <si>
    <t>C</t>
  </si>
  <si>
    <t>yg</t>
  </si>
  <si>
    <t>st</t>
  </si>
  <si>
    <t>bu/ac</t>
  </si>
  <si>
    <t>wheat</t>
  </si>
  <si>
    <t>alfalfa</t>
  </si>
  <si>
    <t>crop &amp; previous crop</t>
  </si>
  <si>
    <t>Soil test method</t>
  </si>
  <si>
    <t>low</t>
  </si>
  <si>
    <t>high</t>
  </si>
  <si>
    <t>yield upper DV limit</t>
  </si>
  <si>
    <t>yield lower DV limit</t>
  </si>
  <si>
    <t>Yield limits for data validation</t>
  </si>
  <si>
    <t>stt</t>
  </si>
  <si>
    <t>stu</t>
  </si>
  <si>
    <t>ph</t>
  </si>
  <si>
    <t>stp</t>
  </si>
  <si>
    <t>soil test phosphorus</t>
  </si>
  <si>
    <t>stk</t>
  </si>
  <si>
    <t>soil test potassium</t>
  </si>
  <si>
    <t>cec</t>
  </si>
  <si>
    <t>Soil types</t>
  </si>
  <si>
    <t>mineral</t>
  </si>
  <si>
    <t>organic</t>
  </si>
  <si>
    <t>pH from soil test</t>
  </si>
  <si>
    <t>pht</t>
  </si>
  <si>
    <t>pH target for your soil</t>
  </si>
  <si>
    <t>phb</t>
  </si>
  <si>
    <t>buffer pH from soil test</t>
  </si>
  <si>
    <t>Region</t>
  </si>
  <si>
    <t>a</t>
  </si>
  <si>
    <t>b</t>
  </si>
  <si>
    <t>AONR</t>
  </si>
  <si>
    <t>Opt. yield</t>
  </si>
  <si>
    <t>NW - SE - SC</t>
  </si>
  <si>
    <t>NC - SW - WC</t>
  </si>
  <si>
    <t>NE - EC</t>
  </si>
  <si>
    <t>Sandy NI</t>
  </si>
  <si>
    <t>Pmin</t>
  </si>
  <si>
    <t>Pmax</t>
  </si>
  <si>
    <t>Kmin</t>
  </si>
  <si>
    <t>Kmax</t>
  </si>
  <si>
    <t>Soil test P limits for data validation</t>
  </si>
  <si>
    <t>Soil test K limits for data validation</t>
  </si>
  <si>
    <t>pc</t>
  </si>
  <si>
    <t>bi</t>
  </si>
  <si>
    <t>Build up intentions</t>
  </si>
  <si>
    <t>$/lb N</t>
  </si>
  <si>
    <t>PN</t>
  </si>
  <si>
    <t>Vc</t>
  </si>
  <si>
    <t>value of the crop</t>
  </si>
  <si>
    <t>price of N fertilizer</t>
  </si>
  <si>
    <t>OPTIONAL INPUTS</t>
  </si>
  <si>
    <t>llk</t>
  </si>
  <si>
    <t>lower limit of K maintenance range</t>
  </si>
  <si>
    <t>llp</t>
  </si>
  <si>
    <t>lower limit of P maintenance range</t>
  </si>
  <si>
    <t>Test Units</t>
  </si>
  <si>
    <t>llPmax</t>
  </si>
  <si>
    <t>llPmin</t>
  </si>
  <si>
    <t>llKmin</t>
  </si>
  <si>
    <t>llKmax</t>
  </si>
  <si>
    <t>Lower limit maintenance, K</t>
  </si>
  <si>
    <t>Lower limit maintenance, P</t>
  </si>
  <si>
    <t>K</t>
  </si>
  <si>
    <t>P</t>
  </si>
  <si>
    <t>P removal</t>
  </si>
  <si>
    <t>K removal</t>
  </si>
  <si>
    <t>corn silage</t>
  </si>
  <si>
    <t>cr</t>
  </si>
  <si>
    <t>OUTPUTS</t>
  </si>
  <si>
    <t>MPp</t>
  </si>
  <si>
    <t>Mehlich P in ppm units</t>
  </si>
  <si>
    <t>MKp</t>
  </si>
  <si>
    <t>Mehlich K in ppm units</t>
  </si>
  <si>
    <t>Mehlich-3</t>
  </si>
  <si>
    <t>Bray &amp; AA</t>
  </si>
  <si>
    <t>years</t>
  </si>
  <si>
    <t>l</t>
  </si>
  <si>
    <t>lime to apply</t>
  </si>
  <si>
    <t>tons/ac</t>
  </si>
  <si>
    <t>li</t>
  </si>
  <si>
    <t>buffer pH</t>
  </si>
  <si>
    <t>lime (t/ac)</t>
  </si>
  <si>
    <t>SUMMARY OUTPUT</t>
  </si>
  <si>
    <t>Regression Statistics</t>
  </si>
  <si>
    <t>Multiple R</t>
  </si>
  <si>
    <t>R Square</t>
  </si>
  <si>
    <t>Adjusted R Square</t>
  </si>
  <si>
    <t>Standard Error</t>
  </si>
  <si>
    <t>Observations</t>
  </si>
  <si>
    <t>ANOVA</t>
  </si>
  <si>
    <t>Regression</t>
  </si>
  <si>
    <t>Residual</t>
  </si>
  <si>
    <t>Total</t>
  </si>
  <si>
    <t>Intercept</t>
  </si>
  <si>
    <t>df</t>
  </si>
  <si>
    <t>SS</t>
  </si>
  <si>
    <t>MS</t>
  </si>
  <si>
    <t>F</t>
  </si>
  <si>
    <t>Significance F</t>
  </si>
  <si>
    <t>Coefficients</t>
  </si>
  <si>
    <t>t Stat</t>
  </si>
  <si>
    <t>P-value</t>
  </si>
  <si>
    <t>Lower 95%</t>
  </si>
  <si>
    <t>Upper 95%</t>
  </si>
  <si>
    <t>Lower 95.0%</t>
  </si>
  <si>
    <t>Upper 95.0%</t>
  </si>
  <si>
    <t>tph*bph</t>
  </si>
  <si>
    <t>N</t>
  </si>
  <si>
    <t>regression based on table equation with different slopes &amp; intercepts</t>
  </si>
  <si>
    <t>Publication table (lime rate for varied lime index &amp; pH targets)</t>
  </si>
  <si>
    <t>Nitrogen to apply</t>
  </si>
  <si>
    <t>lb N/ac</t>
  </si>
  <si>
    <t>reg</t>
  </si>
  <si>
    <t>region of Indiana</t>
  </si>
  <si>
    <t>Regions of IN</t>
  </si>
  <si>
    <t>NC</t>
  </si>
  <si>
    <t>NW</t>
  </si>
  <si>
    <t>NE</t>
  </si>
  <si>
    <t>WC</t>
  </si>
  <si>
    <t>EC</t>
  </si>
  <si>
    <t>SW</t>
  </si>
  <si>
    <t>SC</t>
  </si>
  <si>
    <t>SE</t>
  </si>
  <si>
    <t>=@yg*VLOOKUP(@cr,crops,4,FALSE)  +  ((MAX(20,llp)-@MPp)*20/@bi)</t>
  </si>
  <si>
    <t>=@yg*VLOOKUP(@cr,crops,5,FALSE)  +  20  +  ((MAX(0,@llk-@MKp)*(1+0.05*MIN(cec,20))))*4/@bi</t>
  </si>
  <si>
    <t>=@stp*IF(@stt="Mehlich-3",IF(@stu="ppm",1,2),IF(@stu="ppm",1/1.35,2/1.35))</t>
  </si>
  <si>
    <t>=@stk*IF(@stt="Mehlich-3",IF(@stu="ppm",1,2),IF(@stu="ppm",1/1.14,2/1.14))</t>
  </si>
  <si>
    <t>CONVERSIONS &amp; OTHER INTERMEDIATE CALCULATIONS</t>
  </si>
  <si>
    <t>cb</t>
  </si>
  <si>
    <t>cc</t>
  </si>
  <si>
    <t>N:Corn price ratio</t>
  </si>
  <si>
    <t>Npr</t>
  </si>
  <si>
    <t>($/lb N)/($/bu)</t>
  </si>
  <si>
    <t>corn parameter b of yield function</t>
  </si>
  <si>
    <t>corn parameter c of yield function</t>
  </si>
  <si>
    <t>Yield, bu/ac = a + b(Nrate, lb/ac) + c(Nrate lb/ac)^2</t>
  </si>
  <si>
    <t>bu/lb</t>
  </si>
  <si>
    <t>=@PN/@Vc</t>
  </si>
  <si>
    <t>=VLOOKUP(@reg,INregions,3,FALSE)</t>
  </si>
  <si>
    <t>=VLOOKUP(@reg,INregions,4,FALSE)</t>
  </si>
  <si>
    <t>=(@cb-@Npr)/(-2*@cc) + IF(@pc="soybeans",0, IF(@pc="alfalfa",0,45))</t>
  </si>
  <si>
    <r>
      <t xml:space="preserve">see map </t>
    </r>
    <r>
      <rPr>
        <b/>
        <sz val="11"/>
        <color theme="1"/>
        <rFont val="Arial"/>
        <family val="2"/>
      </rPr>
      <t>&gt;&gt;&gt;</t>
    </r>
  </si>
  <si>
    <r>
      <t>(bu/lb)</t>
    </r>
    <r>
      <rPr>
        <vertAlign val="superscript"/>
        <sz val="11"/>
        <color theme="1"/>
        <rFont val="Arial"/>
        <family val="2"/>
      </rPr>
      <t>2</t>
    </r>
  </si>
  <si>
    <r>
      <t>P</t>
    </r>
    <r>
      <rPr>
        <b/>
        <vertAlign val="subscript"/>
        <sz val="11"/>
        <color theme="1"/>
        <rFont val="Arial"/>
        <family val="2"/>
      </rPr>
      <t>2</t>
    </r>
    <r>
      <rPr>
        <b/>
        <sz val="11"/>
        <color theme="1"/>
        <rFont val="Arial"/>
        <family val="2"/>
      </rPr>
      <t>O</t>
    </r>
    <r>
      <rPr>
        <b/>
        <vertAlign val="subscript"/>
        <sz val="11"/>
        <color theme="1"/>
        <rFont val="Arial"/>
        <family val="2"/>
      </rPr>
      <t>5</t>
    </r>
    <r>
      <rPr>
        <b/>
        <sz val="11"/>
        <color theme="1"/>
        <rFont val="Arial"/>
        <family val="2"/>
      </rPr>
      <t xml:space="preserve"> to apply</t>
    </r>
  </si>
  <si>
    <r>
      <t>lb P</t>
    </r>
    <r>
      <rPr>
        <vertAlign val="subscript"/>
        <sz val="11"/>
        <color theme="1"/>
        <rFont val="Arial"/>
        <family val="2"/>
      </rPr>
      <t>2</t>
    </r>
    <r>
      <rPr>
        <sz val="11"/>
        <color theme="1"/>
        <rFont val="Arial"/>
        <family val="2"/>
      </rPr>
      <t>O</t>
    </r>
    <r>
      <rPr>
        <vertAlign val="subscript"/>
        <sz val="11"/>
        <color theme="1"/>
        <rFont val="Arial"/>
        <family val="2"/>
      </rPr>
      <t>5</t>
    </r>
    <r>
      <rPr>
        <sz val="11"/>
        <color theme="1"/>
        <rFont val="Arial"/>
        <family val="2"/>
      </rPr>
      <t>/ac</t>
    </r>
  </si>
  <si>
    <r>
      <t>K</t>
    </r>
    <r>
      <rPr>
        <b/>
        <vertAlign val="subscript"/>
        <sz val="11"/>
        <color theme="1"/>
        <rFont val="Arial"/>
        <family val="2"/>
      </rPr>
      <t>2</t>
    </r>
    <r>
      <rPr>
        <b/>
        <sz val="11"/>
        <color theme="1"/>
        <rFont val="Arial"/>
        <family val="2"/>
      </rPr>
      <t>0 to apply</t>
    </r>
  </si>
  <si>
    <r>
      <t>lb K</t>
    </r>
    <r>
      <rPr>
        <vertAlign val="subscript"/>
        <sz val="11"/>
        <color theme="1"/>
        <rFont val="Arial"/>
        <family val="2"/>
      </rPr>
      <t>2</t>
    </r>
    <r>
      <rPr>
        <sz val="11"/>
        <color theme="1"/>
        <rFont val="Arial"/>
        <family val="2"/>
      </rPr>
      <t>O/ac</t>
    </r>
  </si>
  <si>
    <t>target pH</t>
  </si>
  <si>
    <t>lime (tons/ac)  =  -73.96  + 10.30*(buffer pH) - 3.020*(target pH)*(buffer pH) + 21.39*(target pH)</t>
  </si>
  <si>
    <t>soil pH target limits for different soil types</t>
  </si>
  <si>
    <t>pht low</t>
  </si>
  <si>
    <t>pht high</t>
  </si>
  <si>
    <t>PN - price of nitrogen ($/lb N)</t>
  </si>
  <si>
    <t>Combo 1</t>
  </si>
  <si>
    <t>Combo 2</t>
  </si>
  <si>
    <t>Combo 3</t>
  </si>
  <si>
    <t>Combo 4</t>
  </si>
  <si>
    <t>T_1</t>
  </si>
  <si>
    <t>type 1</t>
  </si>
  <si>
    <t xml:space="preserve"> -- </t>
  </si>
  <si>
    <t>R_1</t>
  </si>
  <si>
    <t>rate of type 1</t>
  </si>
  <si>
    <t>T_2</t>
  </si>
  <si>
    <t>type 2</t>
  </si>
  <si>
    <t xml:space="preserve"> --</t>
  </si>
  <si>
    <t>R_2</t>
  </si>
  <si>
    <t>rate of type 2</t>
  </si>
  <si>
    <t>T_3</t>
  </si>
  <si>
    <t>type 3</t>
  </si>
  <si>
    <t>R_3</t>
  </si>
  <si>
    <t>rate of type 3</t>
  </si>
  <si>
    <t>T_4</t>
  </si>
  <si>
    <t>type 4</t>
  </si>
  <si>
    <t>R_4</t>
  </si>
  <si>
    <t>rate of type 4</t>
  </si>
  <si>
    <t>total N contribution</t>
  </si>
  <si>
    <t>=VLOOKUP(T_1,Flizers,2,FALSE)*R_1+VLOOKUP(T_2,Flizers,2,FALSE)*R_2+VLOOKUP(T_3,Flizers,2,FALSE)*R_3+VLOOKUP(T_4,Flizers,2,FALSE)*R_4</t>
  </si>
  <si>
    <t>total P2O5 contribution</t>
  </si>
  <si>
    <t>lb P2O5/ac</t>
  </si>
  <si>
    <t>=VLOOKUP(T_1,Flizers,3,FALSE)*R_1+VLOOKUP(T_2,Flizers,3,FALSE)*R_2+VLOOKUP(T_3,Flizers,3,FALSE)*R_3+VLOOKUP(T_4,Flizers,3,FALSE)*R_4</t>
  </si>
  <si>
    <t>total K2O contribution</t>
  </si>
  <si>
    <t>lb K2O/ac</t>
  </si>
  <si>
    <t>=VLOOKUP(T_1,Flizers,4,FALSE)*R_1+VLOOKUP(T_2,Flizers,4,FALSE)*R_2+VLOOKUP(T_3,Flizers,4,FALSE)*R_3+VLOOKUP(T_4,Flizers,4,FALSE)*R_4</t>
  </si>
  <si>
    <t>S</t>
  </si>
  <si>
    <t>total S contribution</t>
  </si>
  <si>
    <t>lb S/ac</t>
  </si>
  <si>
    <t>=VLOOKUP(T_1,Flizers,5,FALSE)*R_1+VLOOKUP(T_2,Flizers,5,FALSE)*R_2+VLOOKUP(T_3,Flizers,5,FALSE)*R_3+VLOOKUP(T_4,Flizers,5,FALSE)*R_4</t>
  </si>
  <si>
    <t>CPA</t>
  </si>
  <si>
    <t>cost per acre</t>
  </si>
  <si>
    <t>$/ac</t>
  </si>
  <si>
    <t>=(R_1*VLOOKUP(T_1,Flizers,6,FALSE)+R_2*VLOOKUP(T_2,Flizers,6,FALSE)+R_3*VLOOKUP(T_3,Flizers,6,FALSE)+R_4*VLOOKUP(T_4,Flizers,6,FALSE))/2000</t>
  </si>
  <si>
    <t>CREDITS and NOTES</t>
  </si>
  <si>
    <t>Fertilizer Cost Analysis - a side-by-side tool for evaluating combinations</t>
  </si>
  <si>
    <t>link to brief tutorial video</t>
  </si>
  <si>
    <t>Tri-State Fertilizer Recommendations - Purdue University (State of IN) Edition</t>
  </si>
  <si>
    <t>0-0-22-21, K-Mag</t>
  </si>
  <si>
    <t>=MAX(0, IF(st="mineral",  (-73.96+10.3*phb-3.02*phb*pht+21.39*pht),  (37.6-7.1*ph + (pht-MIN(5.3,ph))*5)  ) )</t>
  </si>
  <si>
    <t>Affiliation</t>
  </si>
  <si>
    <t>Date</t>
  </si>
  <si>
    <t>URL to acquire</t>
  </si>
  <si>
    <t>Related tools:</t>
  </si>
  <si>
    <t>Fertilizer tools (recommendation &amp; costs)</t>
  </si>
  <si>
    <t>Purdue Crop Planner</t>
  </si>
  <si>
    <t>https://ag.purdue.edu/digital-ag-resources/purdue-crop-planning-tool/</t>
  </si>
  <si>
    <t>https://engineering.purdue.edu/~dbuckmas/outreach/Fertilizer_tools.xlsx</t>
  </si>
  <si>
    <t>Brief tutorial</t>
  </si>
  <si>
    <t>https://engineering.purdue.edu/~dbuckmas/outreach/Fertlizer_tools_tutorial.mp4</t>
  </si>
  <si>
    <t>October, 2021</t>
  </si>
  <si>
    <t>Purdue University, Department of Agricultural &amp; Biological Engineering; Agronomy</t>
  </si>
  <si>
    <t>Authors</t>
  </si>
  <si>
    <t>Dennis Buckmaster, Professor &amp; Dean's Fellow for Digital Agriculture; James Camberato, Professor</t>
  </si>
  <si>
    <t>Description of recommendation tool</t>
  </si>
  <si>
    <t xml:space="preserve">    Description of FertCosts</t>
  </si>
  <si>
    <t>CONTxT</t>
  </si>
  <si>
    <t>https://ag.purdue.edu/digital-ag-resources/contxt-application/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</si>
</sst>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0"/>
    <numFmt numFmtId="166" formatCode="0.000"/>
  </numFmts>
  <fonts count="29" x14ac:knownFonts="1">
    <font>
      <sz val="11"/>
      <color theme="1"/>
      <name val="Calibri"/>
      <family val="2"/>
      <scheme val="minor"/>
    </font>
    <font>
      <sz val="12"/>
      <color theme="1"/>
      <name val="Arial"/>
      <family val="2"/>
    </font>
    <font>
      <b/>
      <sz val="9"/>
      <color indexed="81"/>
      <name val="Tahoma"/>
      <family val="2"/>
    </font>
    <font>
      <b/>
      <sz val="12"/>
      <color rgb="FF000000"/>
      <name val="Arial"/>
      <family val="2"/>
    </font>
    <font>
      <sz val="12"/>
      <color rgb="FF000000"/>
      <name val="Arial"/>
      <family val="2"/>
    </font>
    <font>
      <i/>
      <sz val="11"/>
      <color theme="1"/>
      <name val="Calibri"/>
      <family val="2"/>
      <scheme val="minor"/>
    </font>
    <font>
      <b/>
      <sz val="16"/>
      <color theme="1"/>
      <name val="Calibri"/>
      <family val="2"/>
      <scheme val="minor"/>
    </font>
    <font>
      <sz val="10"/>
      <color rgb="FF000000"/>
      <name val="Arial"/>
      <family val="2"/>
    </font>
    <font>
      <sz val="10"/>
      <color rgb="FF000000"/>
      <name val="Calibri"/>
      <family val="2"/>
    </font>
    <font>
      <sz val="11"/>
      <color theme="1"/>
      <name val="Arial"/>
      <family val="2"/>
    </font>
    <font>
      <b/>
      <sz val="11"/>
      <color theme="1"/>
      <name val="Arial"/>
      <family val="2"/>
    </font>
    <font>
      <sz val="11"/>
      <color theme="9" tint="0.39997558519241921"/>
      <name val="Arial"/>
      <family val="2"/>
    </font>
    <font>
      <vertAlign val="superscript"/>
      <sz val="11"/>
      <color theme="1"/>
      <name val="Arial"/>
      <family val="2"/>
    </font>
    <font>
      <b/>
      <vertAlign val="subscript"/>
      <sz val="11"/>
      <color theme="1"/>
      <name val="Arial"/>
      <family val="2"/>
    </font>
    <font>
      <vertAlign val="subscript"/>
      <sz val="11"/>
      <color theme="1"/>
      <name val="Arial"/>
      <family val="2"/>
    </font>
    <font>
      <b/>
      <sz val="20"/>
      <color theme="1"/>
      <name val="Arial"/>
      <family val="2"/>
    </font>
    <font>
      <sz val="8"/>
      <color rgb="FF000000"/>
      <name val="Segoe UI"/>
      <family val="2"/>
    </font>
    <font>
      <b/>
      <sz val="12"/>
      <color theme="1"/>
      <name val="Arial"/>
      <family val="2"/>
    </font>
    <font>
      <sz val="12"/>
      <color theme="0"/>
      <name val="Arial"/>
      <family val="2"/>
    </font>
    <font>
      <b/>
      <sz val="10"/>
      <color theme="1"/>
      <name val="Arial"/>
      <family val="2"/>
    </font>
    <font>
      <sz val="12"/>
      <color indexed="81"/>
      <name val="Arial"/>
      <family val="2"/>
    </font>
    <font>
      <b/>
      <sz val="12"/>
      <color indexed="81"/>
      <name val="Arial"/>
      <family val="2"/>
    </font>
    <font>
      <u/>
      <sz val="11"/>
      <color theme="10"/>
      <name val="Calibri"/>
      <family val="2"/>
      <scheme val="minor"/>
    </font>
    <font>
      <u/>
      <sz val="16"/>
      <color theme="10"/>
      <name val="Calibri"/>
      <family val="2"/>
      <scheme val="minor"/>
    </font>
    <font>
      <b/>
      <sz val="14"/>
      <color rgb="FF8E6F3E"/>
      <name val="Calibri"/>
      <family val="2"/>
      <scheme val="minor"/>
    </font>
    <font>
      <sz val="10"/>
      <color theme="1"/>
      <name val="Arial"/>
      <family val="2"/>
    </font>
    <font>
      <b/>
      <sz val="10"/>
      <color rgb="FF8E6F3E"/>
      <name val="Arial"/>
      <family val="2"/>
    </font>
    <font>
      <u/>
      <sz val="10"/>
      <color theme="10"/>
      <name val="Arial"/>
      <family val="2"/>
    </font>
    <font>
      <b/>
      <sz val="11"/>
      <color rgb="FF8E6F3E"/>
      <name val="Calibri"/>
      <family val="2"/>
      <scheme val="minor"/>
    </font>
  </fonts>
  <fills count="21">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rgb="FFFDE9D9"/>
        <bgColor indexed="64"/>
      </patternFill>
    </fill>
    <fill>
      <patternFill patternType="solid">
        <fgColor rgb="FFDAEEF3"/>
        <bgColor indexed="64"/>
      </patternFill>
    </fill>
    <fill>
      <patternFill patternType="solid">
        <fgColor rgb="FFCCC0DA"/>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249977111117893"/>
        <bgColor indexed="64"/>
      </patternFill>
    </fill>
    <fill>
      <patternFill patternType="solid">
        <fgColor theme="6" tint="0.59999389629810485"/>
        <bgColor indexed="64"/>
      </patternFill>
    </fill>
    <fill>
      <patternFill patternType="solid">
        <fgColor theme="0"/>
        <bgColor indexed="64"/>
      </patternFill>
    </fill>
  </fills>
  <borders count="3">
    <border>
      <left/>
      <right/>
      <top/>
      <bottom/>
      <diagonal/>
    </border>
    <border>
      <left/>
      <right/>
      <top/>
      <bottom style="medium">
        <color indexed="64"/>
      </bottom>
      <diagonal/>
    </border>
    <border>
      <left/>
      <right/>
      <top style="medium">
        <color indexed="64"/>
      </top>
      <bottom style="thin">
        <color indexed="64"/>
      </bottom>
      <diagonal/>
    </border>
  </borders>
  <cellStyleXfs count="3">
    <xf numFmtId="0" fontId="0" fillId="0" borderId="0"/>
    <xf numFmtId="0" fontId="1" fillId="0" borderId="0"/>
    <xf numFmtId="0" fontId="22" fillId="0" borderId="0" applyNumberFormat="0" applyFill="0" applyBorder="0" applyAlignment="0" applyProtection="0"/>
  </cellStyleXfs>
  <cellXfs count="101">
    <xf numFmtId="0" fontId="0" fillId="0" borderId="0" xfId="0"/>
    <xf numFmtId="164" fontId="0" fillId="0" borderId="0" xfId="0" applyNumberFormat="1"/>
    <xf numFmtId="0" fontId="4" fillId="4" borderId="0" xfId="0" applyFont="1" applyFill="1" applyAlignment="1">
      <alignment horizontal="center" vertical="center"/>
    </xf>
    <xf numFmtId="0" fontId="4" fillId="5" borderId="0" xfId="0" applyFont="1" applyFill="1" applyAlignment="1">
      <alignment horizontal="center" vertical="center"/>
    </xf>
    <xf numFmtId="0" fontId="4" fillId="6" borderId="0" xfId="0" applyFont="1" applyFill="1" applyAlignment="1">
      <alignment horizontal="center" vertical="center"/>
    </xf>
    <xf numFmtId="0" fontId="0" fillId="0" borderId="0" xfId="0" applyAlignment="1">
      <alignment vertical="center"/>
    </xf>
    <xf numFmtId="0" fontId="0" fillId="0" borderId="0" xfId="0" applyFill="1" applyBorder="1" applyAlignment="1"/>
    <xf numFmtId="0" fontId="0" fillId="0" borderId="1" xfId="0" applyFill="1" applyBorder="1" applyAlignment="1"/>
    <xf numFmtId="0" fontId="5" fillId="0" borderId="2" xfId="0" applyFont="1" applyFill="1" applyBorder="1" applyAlignment="1">
      <alignment horizontal="center"/>
    </xf>
    <xf numFmtId="0" fontId="5" fillId="0" borderId="2" xfId="0" applyFont="1" applyFill="1" applyBorder="1" applyAlignment="1">
      <alignment horizontal="centerContinuous"/>
    </xf>
    <xf numFmtId="0" fontId="0" fillId="7" borderId="0" xfId="0" applyFill="1" applyBorder="1" applyAlignment="1"/>
    <xf numFmtId="0" fontId="0" fillId="7" borderId="1" xfId="0" applyFill="1" applyBorder="1" applyAlignment="1"/>
    <xf numFmtId="0" fontId="0" fillId="7" borderId="0" xfId="0" applyFill="1"/>
    <xf numFmtId="165" fontId="4" fillId="4" borderId="0" xfId="0" applyNumberFormat="1" applyFont="1" applyFill="1" applyAlignment="1">
      <alignment horizontal="center" vertical="center"/>
    </xf>
    <xf numFmtId="165" fontId="4" fillId="5" borderId="0" xfId="0" applyNumberFormat="1" applyFont="1" applyFill="1" applyAlignment="1">
      <alignment horizontal="center" vertical="center"/>
    </xf>
    <xf numFmtId="165" fontId="4" fillId="6" borderId="0" xfId="0" applyNumberFormat="1" applyFont="1" applyFill="1" applyAlignment="1">
      <alignment horizontal="center" vertical="center"/>
    </xf>
    <xf numFmtId="165" fontId="0" fillId="0" borderId="0" xfId="0" applyNumberFormat="1"/>
    <xf numFmtId="0" fontId="3" fillId="0" borderId="0" xfId="0" applyFont="1" applyFill="1" applyAlignment="1">
      <alignment horizontal="left" vertical="center"/>
    </xf>
    <xf numFmtId="0" fontId="7" fillId="4" borderId="0" xfId="0" applyFont="1" applyFill="1" applyAlignment="1">
      <alignment horizontal="center" vertical="center"/>
    </xf>
    <xf numFmtId="0" fontId="8" fillId="5" borderId="0" xfId="0" applyFont="1" applyFill="1" applyAlignment="1">
      <alignment horizontal="center" vertical="center"/>
    </xf>
    <xf numFmtId="0" fontId="7" fillId="5" borderId="0" xfId="0" applyFont="1" applyFill="1" applyAlignment="1">
      <alignment horizontal="center" vertical="center"/>
    </xf>
    <xf numFmtId="0" fontId="7" fillId="6" borderId="0" xfId="0" applyFont="1" applyFill="1" applyAlignment="1">
      <alignment horizontal="center" vertical="center"/>
    </xf>
    <xf numFmtId="0" fontId="3" fillId="19" borderId="0" xfId="0" applyFont="1" applyFill="1" applyAlignment="1">
      <alignment horizontal="center" vertical="center"/>
    </xf>
    <xf numFmtId="0" fontId="9" fillId="0" borderId="0" xfId="0" applyFont="1"/>
    <xf numFmtId="0" fontId="9" fillId="0" borderId="0" xfId="0" applyFont="1" applyAlignment="1">
      <alignment horizontal="center"/>
    </xf>
    <xf numFmtId="0" fontId="10" fillId="8" borderId="0" xfId="0" applyFont="1" applyFill="1"/>
    <xf numFmtId="0" fontId="9" fillId="8" borderId="0" xfId="0" applyFont="1" applyFill="1"/>
    <xf numFmtId="0" fontId="11" fillId="8" borderId="0" xfId="0" applyFont="1" applyFill="1" applyAlignment="1" applyProtection="1">
      <alignment horizontal="center"/>
      <protection locked="0"/>
    </xf>
    <xf numFmtId="0" fontId="9" fillId="10" borderId="0" xfId="0" applyFont="1" applyFill="1"/>
    <xf numFmtId="0" fontId="10" fillId="9" borderId="0" xfId="0" applyFont="1" applyFill="1" applyAlignment="1" applyProtection="1">
      <alignment horizontal="center"/>
      <protection locked="0"/>
    </xf>
    <xf numFmtId="164" fontId="10" fillId="9" borderId="0" xfId="0" applyNumberFormat="1" applyFont="1" applyFill="1" applyAlignment="1" applyProtection="1">
      <alignment horizontal="center"/>
      <protection locked="0"/>
    </xf>
    <xf numFmtId="0" fontId="10" fillId="2" borderId="0" xfId="0" applyFont="1" applyFill="1"/>
    <xf numFmtId="0" fontId="9" fillId="2" borderId="0" xfId="0" applyFont="1" applyFill="1"/>
    <xf numFmtId="0" fontId="9" fillId="2" borderId="0" xfId="0" applyFont="1" applyFill="1" applyAlignment="1">
      <alignment horizontal="center"/>
    </xf>
    <xf numFmtId="0" fontId="9" fillId="3" borderId="0" xfId="0" applyFont="1" applyFill="1"/>
    <xf numFmtId="0" fontId="10" fillId="11" borderId="0" xfId="0" applyFont="1" applyFill="1" applyAlignment="1" applyProtection="1">
      <alignment horizontal="center"/>
      <protection locked="0"/>
    </xf>
    <xf numFmtId="0" fontId="10" fillId="12" borderId="0" xfId="0" applyFont="1" applyFill="1"/>
    <xf numFmtId="0" fontId="9" fillId="12" borderId="0" xfId="0" applyFont="1" applyFill="1"/>
    <xf numFmtId="0" fontId="9" fillId="12" borderId="0" xfId="0" applyFont="1" applyFill="1" applyAlignment="1">
      <alignment horizontal="center"/>
    </xf>
    <xf numFmtId="0" fontId="9" fillId="13" borderId="0" xfId="0" applyFont="1" applyFill="1"/>
    <xf numFmtId="0" fontId="9" fillId="14" borderId="0" xfId="0" applyFont="1" applyFill="1" applyAlignment="1">
      <alignment horizontal="center"/>
    </xf>
    <xf numFmtId="0" fontId="9" fillId="13" borderId="0" xfId="0" quotePrefix="1" applyFont="1" applyFill="1" applyAlignment="1">
      <alignment horizontal="left"/>
    </xf>
    <xf numFmtId="2" fontId="9" fillId="14" borderId="0" xfId="0" applyNumberFormat="1" applyFont="1" applyFill="1" applyAlignment="1">
      <alignment horizontal="center"/>
    </xf>
    <xf numFmtId="2" fontId="9" fillId="13" borderId="0" xfId="0" quotePrefix="1" applyNumberFormat="1" applyFont="1" applyFill="1" applyAlignment="1">
      <alignment horizontal="left"/>
    </xf>
    <xf numFmtId="0" fontId="9" fillId="0" borderId="0" xfId="0" applyFont="1" applyAlignment="1">
      <alignment horizontal="left"/>
    </xf>
    <xf numFmtId="0" fontId="10" fillId="15" borderId="0" xfId="0" applyFont="1" applyFill="1"/>
    <xf numFmtId="0" fontId="9" fillId="15" borderId="0" xfId="0" applyFont="1" applyFill="1"/>
    <xf numFmtId="0" fontId="9" fillId="15" borderId="0" xfId="0" applyFont="1" applyFill="1" applyAlignment="1">
      <alignment horizontal="center"/>
    </xf>
    <xf numFmtId="0" fontId="9" fillId="15" borderId="0" xfId="0" applyFont="1" applyFill="1" applyAlignment="1">
      <alignment horizontal="left"/>
    </xf>
    <xf numFmtId="0" fontId="9" fillId="16" borderId="0" xfId="0" applyFont="1" applyFill="1"/>
    <xf numFmtId="1" fontId="10" fillId="17" borderId="0" xfId="0" applyNumberFormat="1" applyFont="1" applyFill="1" applyAlignment="1">
      <alignment horizontal="center"/>
    </xf>
    <xf numFmtId="1" fontId="10" fillId="16" borderId="0" xfId="0" quotePrefix="1" applyNumberFormat="1" applyFont="1" applyFill="1" applyAlignment="1">
      <alignment horizontal="left"/>
    </xf>
    <xf numFmtId="0" fontId="10" fillId="17" borderId="0" xfId="0" applyFont="1" applyFill="1" applyAlignment="1">
      <alignment horizontal="center"/>
    </xf>
    <xf numFmtId="0" fontId="10" fillId="16" borderId="0" xfId="0" quotePrefix="1" applyFont="1" applyFill="1" applyAlignment="1">
      <alignment horizontal="left"/>
    </xf>
    <xf numFmtId="164" fontId="10" fillId="17" borderId="0" xfId="0" applyNumberFormat="1" applyFont="1" applyFill="1" applyAlignment="1">
      <alignment horizontal="center"/>
    </xf>
    <xf numFmtId="164" fontId="10" fillId="16" borderId="0" xfId="0" quotePrefix="1" applyNumberFormat="1" applyFont="1" applyFill="1" applyAlignment="1">
      <alignment horizontal="left"/>
    </xf>
    <xf numFmtId="0" fontId="10" fillId="16" borderId="0" xfId="0" applyFont="1" applyFill="1" applyAlignment="1">
      <alignment horizontal="center"/>
    </xf>
    <xf numFmtId="0" fontId="9" fillId="8" borderId="0" xfId="0" applyFont="1" applyFill="1" applyAlignment="1">
      <alignment horizontal="center"/>
    </xf>
    <xf numFmtId="0" fontId="9" fillId="10" borderId="0" xfId="0" applyFont="1" applyFill="1" applyAlignment="1">
      <alignment horizontal="center"/>
    </xf>
    <xf numFmtId="0" fontId="9" fillId="3" borderId="0" xfId="0" applyFont="1" applyFill="1" applyAlignment="1">
      <alignment horizontal="center"/>
    </xf>
    <xf numFmtId="0" fontId="9" fillId="13" borderId="0" xfId="0" applyFont="1" applyFill="1" applyAlignment="1">
      <alignment horizontal="center"/>
    </xf>
    <xf numFmtId="0" fontId="6" fillId="0" borderId="0" xfId="0" applyFont="1"/>
    <xf numFmtId="0" fontId="17" fillId="8" borderId="0" xfId="1" applyFont="1" applyFill="1"/>
    <xf numFmtId="0" fontId="1" fillId="8" borderId="0" xfId="1" applyFill="1"/>
    <xf numFmtId="0" fontId="18" fillId="0" borderId="0" xfId="1" applyFont="1" applyProtection="1">
      <protection locked="0"/>
    </xf>
    <xf numFmtId="0" fontId="1" fillId="0" borderId="0" xfId="1"/>
    <xf numFmtId="0" fontId="1" fillId="10" borderId="0" xfId="1" applyFill="1" applyProtection="1">
      <protection locked="0"/>
    </xf>
    <xf numFmtId="0" fontId="17" fillId="15" borderId="0" xfId="1" applyFont="1" applyFill="1"/>
    <xf numFmtId="0" fontId="1" fillId="15" borderId="0" xfId="1" applyFill="1"/>
    <xf numFmtId="0" fontId="1" fillId="0" borderId="0" xfId="1" quotePrefix="1"/>
    <xf numFmtId="2" fontId="1" fillId="0" borderId="0" xfId="1" applyNumberFormat="1"/>
    <xf numFmtId="2" fontId="1" fillId="0" borderId="0" xfId="1" quotePrefix="1" applyNumberFormat="1"/>
    <xf numFmtId="0" fontId="1" fillId="2" borderId="0" xfId="1" applyFill="1"/>
    <xf numFmtId="0" fontId="1" fillId="0" borderId="0" xfId="1" applyProtection="1"/>
    <xf numFmtId="0" fontId="1" fillId="3" borderId="0" xfId="1" applyFill="1" applyProtection="1">
      <protection locked="0"/>
    </xf>
    <xf numFmtId="14" fontId="1" fillId="0" borderId="0" xfId="1" quotePrefix="1" applyNumberFormat="1" applyProtection="1"/>
    <xf numFmtId="0" fontId="1" fillId="0" borderId="0" xfId="1" quotePrefix="1" applyProtection="1"/>
    <xf numFmtId="0" fontId="1" fillId="0" borderId="0" xfId="1" applyFont="1"/>
    <xf numFmtId="166" fontId="1" fillId="0" borderId="0" xfId="0" applyNumberFormat="1" applyFont="1"/>
    <xf numFmtId="0" fontId="19" fillId="0" borderId="0" xfId="0" applyFont="1" applyFill="1"/>
    <xf numFmtId="0" fontId="10" fillId="2" borderId="0" xfId="1" applyFont="1" applyFill="1"/>
    <xf numFmtId="0" fontId="17" fillId="0" borderId="0" xfId="0" applyFont="1" applyAlignment="1">
      <alignment horizontal="left"/>
    </xf>
    <xf numFmtId="0" fontId="23" fillId="0" borderId="0" xfId="2" applyFont="1" applyAlignment="1">
      <alignment horizontal="right"/>
    </xf>
    <xf numFmtId="1" fontId="9" fillId="14" borderId="0" xfId="0" applyNumberFormat="1" applyFont="1" applyFill="1" applyAlignment="1">
      <alignment horizontal="center"/>
    </xf>
    <xf numFmtId="0" fontId="0" fillId="20" borderId="0" xfId="0" applyFill="1"/>
    <xf numFmtId="0" fontId="25" fillId="0" borderId="0" xfId="0" applyFont="1"/>
    <xf numFmtId="0" fontId="25" fillId="0" borderId="0" xfId="0" applyFont="1" applyFill="1"/>
    <xf numFmtId="0" fontId="0" fillId="0" borderId="0" xfId="0" applyFill="1"/>
    <xf numFmtId="0" fontId="26" fillId="0" borderId="0" xfId="0" applyFont="1"/>
    <xf numFmtId="15" fontId="25" fillId="0" borderId="0" xfId="0" applyNumberFormat="1" applyFont="1" applyAlignment="1">
      <alignment horizontal="left"/>
    </xf>
    <xf numFmtId="0" fontId="26" fillId="0" borderId="0" xfId="0" applyFont="1" applyFill="1"/>
    <xf numFmtId="15" fontId="27" fillId="0" borderId="0" xfId="2" applyNumberFormat="1" applyFont="1"/>
    <xf numFmtId="0" fontId="28" fillId="0" borderId="0" xfId="0" applyFont="1"/>
    <xf numFmtId="0" fontId="27" fillId="0" borderId="0" xfId="2" applyFont="1" applyAlignment="1"/>
    <xf numFmtId="0" fontId="22" fillId="0" borderId="0" xfId="2"/>
    <xf numFmtId="0" fontId="0" fillId="0" borderId="0" xfId="0" applyNumberFormat="1" applyAlignment="1">
      <alignment horizontal="left"/>
    </xf>
    <xf numFmtId="15" fontId="22" fillId="0" borderId="0" xfId="2" applyNumberFormat="1" applyAlignment="1">
      <alignment horizontal="left"/>
    </xf>
    <xf numFmtId="0" fontId="22" fillId="0" borderId="0" xfId="2" applyAlignment="1">
      <alignment horizontal="left"/>
    </xf>
    <xf numFmtId="0" fontId="27" fillId="0" borderId="0" xfId="2" applyFont="1" applyAlignment="1">
      <alignment horizontal="left"/>
    </xf>
    <xf numFmtId="0" fontId="24" fillId="20" borderId="0" xfId="0" applyFont="1" applyFill="1" applyBorder="1" applyAlignment="1">
      <alignment horizontal="left" vertical="center"/>
    </xf>
    <xf numFmtId="0" fontId="15" fillId="18" borderId="0" xfId="0" applyFont="1" applyFill="1" applyAlignment="1">
      <alignment horizontal="center"/>
    </xf>
  </cellXfs>
  <cellStyles count="3">
    <cellStyle name="Hyperlink" xfId="2" builtinId="8"/>
    <cellStyle name="Normal" xfId="0" builtinId="0"/>
    <cellStyle name="Normal 2" xfId="1" xr:uid="{6062F290-B7DA-4584-8D5C-4A2AE68FA484}"/>
  </cellStyles>
  <dxfs count="5">
    <dxf>
      <font>
        <color theme="0"/>
      </font>
    </dxf>
    <dxf>
      <font>
        <color theme="5" tint="0.79998168889431442"/>
      </font>
    </dxf>
    <dxf>
      <font>
        <color theme="7" tint="0.79998168889431442"/>
      </font>
    </dxf>
    <dxf>
      <font>
        <color theme="8" tint="0.79998168889431442"/>
      </font>
    </dxf>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one equation does it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xVal>
            <c:numRef>
              <c:f>'lime model'!$E$10:$E$33</c:f>
              <c:numCache>
                <c:formatCode>0.0</c:formatCode>
                <c:ptCount val="24"/>
                <c:pt idx="0">
                  <c:v>0.44199999999996464</c:v>
                </c:pt>
                <c:pt idx="1">
                  <c:v>2.0059999999999718</c:v>
                </c:pt>
                <c:pt idx="2">
                  <c:v>3.569999999999979</c:v>
                </c:pt>
                <c:pt idx="3">
                  <c:v>5.1339999999999861</c:v>
                </c:pt>
                <c:pt idx="4">
                  <c:v>6.6979999999999933</c:v>
                </c:pt>
                <c:pt idx="5">
                  <c:v>8.261999999999972</c:v>
                </c:pt>
                <c:pt idx="6">
                  <c:v>9.8259999999999792</c:v>
                </c:pt>
                <c:pt idx="7">
                  <c:v>11.389999999999986</c:v>
                </c:pt>
                <c:pt idx="8">
                  <c:v>0.72299999999998477</c:v>
                </c:pt>
                <c:pt idx="9">
                  <c:v>2.5889999999999702</c:v>
                </c:pt>
                <c:pt idx="10">
                  <c:v>4.4550000000000125</c:v>
                </c:pt>
                <c:pt idx="11">
                  <c:v>6.320999999999998</c:v>
                </c:pt>
                <c:pt idx="12">
                  <c:v>8.1869999999999834</c:v>
                </c:pt>
                <c:pt idx="13">
                  <c:v>10.053000000000026</c:v>
                </c:pt>
                <c:pt idx="14">
                  <c:v>11.918999999999997</c:v>
                </c:pt>
                <c:pt idx="15">
                  <c:v>13.785000000000011</c:v>
                </c:pt>
                <c:pt idx="16">
                  <c:v>0.89159999999998263</c:v>
                </c:pt>
                <c:pt idx="17">
                  <c:v>2.9387999999999579</c:v>
                </c:pt>
                <c:pt idx="18">
                  <c:v>4.98599999999999</c:v>
                </c:pt>
                <c:pt idx="19">
                  <c:v>7.0331999999999653</c:v>
                </c:pt>
                <c:pt idx="20">
                  <c:v>9.0803999999999974</c:v>
                </c:pt>
                <c:pt idx="21">
                  <c:v>11.127599999999973</c:v>
                </c:pt>
                <c:pt idx="22">
                  <c:v>13.174800000000005</c:v>
                </c:pt>
                <c:pt idx="23">
                  <c:v>15.22199999999998</c:v>
                </c:pt>
              </c:numCache>
            </c:numRef>
          </c:xVal>
          <c:yVal>
            <c:numRef>
              <c:f>'lime model'!$D$10:$D$33</c:f>
              <c:numCache>
                <c:formatCode>0.0</c:formatCode>
                <c:ptCount val="24"/>
                <c:pt idx="0">
                  <c:v>0.37999999999999545</c:v>
                </c:pt>
                <c:pt idx="1">
                  <c:v>1.9400000000000048</c:v>
                </c:pt>
                <c:pt idx="2">
                  <c:v>3.5</c:v>
                </c:pt>
                <c:pt idx="3">
                  <c:v>5.0600000000000023</c:v>
                </c:pt>
                <c:pt idx="4">
                  <c:v>6.6200000000000045</c:v>
                </c:pt>
                <c:pt idx="5">
                  <c:v>8.1800000000000068</c:v>
                </c:pt>
                <c:pt idx="6">
                  <c:v>9.7400000000000091</c:v>
                </c:pt>
                <c:pt idx="7">
                  <c:v>11.300000000000011</c:v>
                </c:pt>
                <c:pt idx="8">
                  <c:v>0.64000000000000057</c:v>
                </c:pt>
                <c:pt idx="9">
                  <c:v>2.519999999999996</c:v>
                </c:pt>
                <c:pt idx="10">
                  <c:v>4.4000000000000057</c:v>
                </c:pt>
                <c:pt idx="11">
                  <c:v>6.2800000000000011</c:v>
                </c:pt>
                <c:pt idx="12">
                  <c:v>8.1600000000000108</c:v>
                </c:pt>
                <c:pt idx="13">
                  <c:v>10.040000000000006</c:v>
                </c:pt>
                <c:pt idx="14">
                  <c:v>11.920000000000016</c:v>
                </c:pt>
                <c:pt idx="15">
                  <c:v>13.800000000000011</c:v>
                </c:pt>
                <c:pt idx="16" formatCode="General">
                  <c:v>0.82000000000000739</c:v>
                </c:pt>
                <c:pt idx="17" formatCode="General">
                  <c:v>2.8599999999999994</c:v>
                </c:pt>
                <c:pt idx="18" formatCode="General">
                  <c:v>4.9000000000000057</c:v>
                </c:pt>
                <c:pt idx="19" formatCode="General">
                  <c:v>6.9399999999999977</c:v>
                </c:pt>
                <c:pt idx="20" formatCode="General">
                  <c:v>8.980000000000004</c:v>
                </c:pt>
                <c:pt idx="21" formatCode="General">
                  <c:v>11.020000000000003</c:v>
                </c:pt>
                <c:pt idx="22" formatCode="General">
                  <c:v>13.060000000000009</c:v>
                </c:pt>
                <c:pt idx="23" formatCode="General">
                  <c:v>15.100000000000009</c:v>
                </c:pt>
              </c:numCache>
            </c:numRef>
          </c:yVal>
          <c:smooth val="0"/>
          <c:extLst>
            <c:ext xmlns:c16="http://schemas.microsoft.com/office/drawing/2014/chart" uri="{C3380CC4-5D6E-409C-BE32-E72D297353CC}">
              <c16:uniqueId val="{00000000-1AB1-4E09-9FDC-660A44270987}"/>
            </c:ext>
          </c:extLst>
        </c:ser>
        <c:dLbls>
          <c:showLegendKey val="0"/>
          <c:showVal val="0"/>
          <c:showCatName val="0"/>
          <c:showSerName val="0"/>
          <c:showPercent val="0"/>
          <c:showBubbleSize val="0"/>
        </c:dLbls>
        <c:axId val="305093568"/>
        <c:axId val="572408752"/>
      </c:scatterChart>
      <c:valAx>
        <c:axId val="30509356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regression predicted lime (t/ac)</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2408752"/>
        <c:crosses val="autoZero"/>
        <c:crossBetween val="midCat"/>
      </c:valAx>
      <c:valAx>
        <c:axId val="5724087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tabled lime (t/ac)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509356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checked="Checked" fmlaLink="$C$3" lockText="1" noThreeD="1"/>
</file>

<file path=xl/ctrlProps/ctrlProp2.xml><?xml version="1.0" encoding="utf-8"?>
<formControlPr xmlns="http://schemas.microsoft.com/office/spreadsheetml/2009/9/main" objectType="CheckBox" checked="Checked" fmlaLink="$H$3"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cid:image001.png@01D73152.06EDB540" TargetMode="External"/><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cid:image001.png@01D73152.06EDB540" TargetMode="External"/><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5</xdr:row>
      <xdr:rowOff>5953</xdr:rowOff>
    </xdr:from>
    <xdr:to>
      <xdr:col>6</xdr:col>
      <xdr:colOff>35719</xdr:colOff>
      <xdr:row>28</xdr:row>
      <xdr:rowOff>154780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958453"/>
          <a:ext cx="4131469" cy="45303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latin typeface="Arial" panose="020B0604020202020204" pitchFamily="34" charset="0"/>
              <a:cs typeface="Arial" panose="020B0604020202020204" pitchFamily="34" charset="0"/>
            </a:rPr>
            <a:t>This is a compact and user-friendly implementation of the 56 page Bulletin 974 Tri-State Fertilizer Recommendations: </a:t>
          </a:r>
        </a:p>
        <a:p>
          <a:r>
            <a:rPr lang="en-US" sz="1050">
              <a:latin typeface="Arial" panose="020B0604020202020204" pitchFamily="34" charset="0"/>
              <a:cs typeface="Arial" panose="020B0604020202020204" pitchFamily="34" charset="0"/>
            </a:rPr>
            <a:t>https://ag.purdue.edu/agry/soilfertility/Documents/Tri-State%20Fertilizer%20Recommendations.pdf</a:t>
          </a:r>
        </a:p>
        <a:p>
          <a:endParaRPr lang="en-US" sz="105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50">
              <a:latin typeface="Arial" panose="020B0604020202020204" pitchFamily="34" charset="0"/>
              <a:cs typeface="Arial" panose="020B0604020202020204" pitchFamily="34" charset="0"/>
            </a:rPr>
            <a:t>This tool may be freely used, refined, updated as long as credit to the source is given.</a:t>
          </a:r>
          <a:r>
            <a:rPr lang="en-US" sz="1050" baseline="0">
              <a:latin typeface="Arial" panose="020B0604020202020204" pitchFamily="34" charset="0"/>
              <a:cs typeface="Arial" panose="020B0604020202020204" pitchFamily="34" charset="0"/>
            </a:rPr>
            <a:t> </a:t>
          </a:r>
          <a:r>
            <a:rPr lang="en-US" sz="1050">
              <a:latin typeface="Arial" panose="020B0604020202020204" pitchFamily="34" charset="0"/>
              <a:cs typeface="Arial" panose="020B0604020202020204" pitchFamily="34" charset="0"/>
            </a:rPr>
            <a:t>It is protected to prevent inadvertent changes, but the protection is without password so that those inclined and suitably knowledgeable may customize the tool. For those that want to edit, note there are two hidden sheets working in</a:t>
          </a:r>
          <a:r>
            <a:rPr lang="en-US" sz="1100">
              <a:solidFill>
                <a:schemeClr val="dk1"/>
              </a:solidFill>
              <a:effectLst/>
              <a:latin typeface="+mn-lt"/>
              <a:ea typeface="+mn-ea"/>
              <a:cs typeface="+mn-cs"/>
            </a:rPr>
            <a:t> the background.</a:t>
          </a:r>
          <a:endParaRPr lang="en-US" sz="1050">
            <a:effectLst/>
          </a:endParaRPr>
        </a:p>
        <a:p>
          <a:endParaRPr lang="en-US" sz="1050">
            <a:latin typeface="Arial" panose="020B0604020202020204" pitchFamily="34" charset="0"/>
            <a:cs typeface="Arial" panose="020B0604020202020204" pitchFamily="34" charset="0"/>
          </a:endParaRPr>
        </a:p>
        <a:p>
          <a:r>
            <a:rPr lang="en-US" sz="1100">
              <a:solidFill>
                <a:schemeClr val="dk1"/>
              </a:solidFill>
              <a:effectLst/>
              <a:latin typeface="+mn-lt"/>
              <a:ea typeface="+mn-ea"/>
              <a:cs typeface="+mn-cs"/>
            </a:rPr>
            <a:t>Brief instructions:</a:t>
          </a:r>
          <a:endParaRPr lang="en-US" sz="1050">
            <a:effectLst/>
          </a:endParaRPr>
        </a:p>
        <a:p>
          <a:r>
            <a:rPr lang="en-US" sz="1100">
              <a:solidFill>
                <a:schemeClr val="dk1"/>
              </a:solidFill>
              <a:effectLst/>
              <a:latin typeface="+mn-lt"/>
              <a:ea typeface="+mn-ea"/>
              <a:cs typeface="+mn-cs"/>
            </a:rPr>
            <a:t>We hope this tool is simple enough to</a:t>
          </a:r>
          <a:r>
            <a:rPr lang="en-US" sz="1100" baseline="0">
              <a:solidFill>
                <a:schemeClr val="dk1"/>
              </a:solidFill>
              <a:effectLst/>
              <a:latin typeface="+mn-lt"/>
              <a:ea typeface="+mn-ea"/>
              <a:cs typeface="+mn-cs"/>
            </a:rPr>
            <a:t> avoid the need for a user manual. Also see credits in A2.</a:t>
          </a:r>
          <a:endParaRPr lang="en-US" sz="1050">
            <a:effectLst/>
          </a:endParaRPr>
        </a:p>
        <a:p>
          <a:r>
            <a:rPr lang="en-US" sz="1100" baseline="0">
              <a:solidFill>
                <a:schemeClr val="dk1"/>
              </a:solidFill>
              <a:effectLst/>
              <a:latin typeface="+mn-lt"/>
              <a:ea typeface="+mn-ea"/>
              <a:cs typeface="+mn-cs"/>
            </a:rPr>
            <a:t>Inputs are required and each item must be correct for each management zone. Most items use data validation to be sure inputs are valid.</a:t>
          </a:r>
          <a:endParaRPr lang="en-US" sz="1050">
            <a:effectLst/>
          </a:endParaRPr>
        </a:p>
        <a:p>
          <a:r>
            <a:rPr lang="en-US" sz="1100" baseline="0">
              <a:solidFill>
                <a:schemeClr val="dk1"/>
              </a:solidFill>
              <a:effectLst/>
              <a:latin typeface="+mn-lt"/>
              <a:ea typeface="+mn-ea"/>
              <a:cs typeface="+mn-cs"/>
            </a:rPr>
            <a:t>Updating prices in "fertilizer table" on the FertCosts sheet can help you with row 18 (price of N fertilizer) of "recommendation tool", but the connection is not automatic.</a:t>
          </a:r>
          <a:endParaRPr lang="en-US" sz="1050">
            <a:effectLst/>
          </a:endParaRPr>
        </a:p>
        <a:p>
          <a:r>
            <a:rPr lang="en-US" sz="1100" b="1" baseline="0">
              <a:solidFill>
                <a:schemeClr val="dk1"/>
              </a:solidFill>
              <a:effectLst/>
              <a:latin typeface="+mn-lt"/>
              <a:ea typeface="+mn-ea"/>
              <a:cs typeface="+mn-cs"/>
            </a:rPr>
            <a:t>Some inputs are dependent upon others.</a:t>
          </a:r>
          <a:r>
            <a:rPr lang="en-US" sz="1100" baseline="0">
              <a:solidFill>
                <a:schemeClr val="dk1"/>
              </a:solidFill>
              <a:effectLst/>
              <a:latin typeface="+mn-lt"/>
              <a:ea typeface="+mn-ea"/>
              <a:cs typeface="+mn-cs"/>
            </a:rPr>
            <a:t> For example, soil test phosphorus input depends upon the units of your soil test phosphorus, so if you change units, change the value. Likewise, crop yield goal limitations vary among crops. </a:t>
          </a:r>
          <a:r>
            <a:rPr lang="en-US" sz="1100" b="1" baseline="0">
              <a:solidFill>
                <a:schemeClr val="dk1"/>
              </a:solidFill>
              <a:effectLst/>
              <a:latin typeface="+mn-lt"/>
              <a:ea typeface="+mn-ea"/>
              <a:cs typeface="+mn-cs"/>
            </a:rPr>
            <a:t>THEREFORE, YOU MUST make all changes in a top-to-bottom sequence</a:t>
          </a:r>
          <a:r>
            <a:rPr lang="en-US" sz="1100" baseline="0">
              <a:solidFill>
                <a:schemeClr val="dk1"/>
              </a:solidFill>
              <a:effectLst/>
              <a:latin typeface="+mn-lt"/>
              <a:ea typeface="+mn-ea"/>
              <a:cs typeface="+mn-cs"/>
            </a:rPr>
            <a:t> to be sure you have good units &amp; values match.</a:t>
          </a:r>
          <a:endParaRPr lang="en-US" sz="1050">
            <a:effectLst/>
          </a:endParaRPr>
        </a:p>
      </xdr:txBody>
    </xdr:sp>
    <xdr:clientData/>
  </xdr:twoCellAnchor>
  <xdr:twoCellAnchor editAs="oneCell">
    <xdr:from>
      <xdr:col>16</xdr:col>
      <xdr:colOff>601265</xdr:colOff>
      <xdr:row>6</xdr:row>
      <xdr:rowOff>83343</xdr:rowOff>
    </xdr:from>
    <xdr:to>
      <xdr:col>20</xdr:col>
      <xdr:colOff>208454</xdr:colOff>
      <xdr:row>13</xdr:row>
      <xdr:rowOff>71436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17880"/>
        <a:stretch/>
      </xdr:blipFill>
      <xdr:spPr>
        <a:xfrm>
          <a:off x="10802540" y="1226343"/>
          <a:ext cx="2045589" cy="1321593"/>
        </a:xfrm>
        <a:prstGeom prst="rect">
          <a:avLst/>
        </a:prstGeom>
      </xdr:spPr>
    </xdr:pic>
    <xdr:clientData/>
  </xdr:twoCellAnchor>
  <xdr:twoCellAnchor editAs="oneCell">
    <xdr:from>
      <xdr:col>0</xdr:col>
      <xdr:colOff>41671</xdr:colOff>
      <xdr:row>0</xdr:row>
      <xdr:rowOff>22418</xdr:rowOff>
    </xdr:from>
    <xdr:to>
      <xdr:col>4</xdr:col>
      <xdr:colOff>470297</xdr:colOff>
      <xdr:row>1</xdr:row>
      <xdr:rowOff>186471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671" y="22418"/>
          <a:ext cx="3314701" cy="354553"/>
        </a:xfrm>
        <a:prstGeom prst="rect">
          <a:avLst/>
        </a:prstGeom>
      </xdr:spPr>
    </xdr:pic>
    <xdr:clientData/>
  </xdr:twoCellAnchor>
  <xdr:twoCellAnchor>
    <xdr:from>
      <xdr:col>6</xdr:col>
      <xdr:colOff>176212</xdr:colOff>
      <xdr:row>5</xdr:row>
      <xdr:rowOff>9525</xdr:rowOff>
    </xdr:from>
    <xdr:to>
      <xdr:col>11</xdr:col>
      <xdr:colOff>291704</xdr:colOff>
      <xdr:row>28</xdr:row>
      <xdr:rowOff>154781</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4271962" y="962025"/>
          <a:ext cx="3151586" cy="4526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effectLst/>
              <a:latin typeface="+mn-lt"/>
              <a:cs typeface="Arial" panose="020B0604020202020204" pitchFamily="34" charset="0"/>
            </a:rPr>
            <a:t>This tool may be freely used, refined, updated as long as credit to the source is given.</a:t>
          </a:r>
        </a:p>
        <a:p>
          <a:endParaRPr lang="en-US" sz="1100">
            <a:effectLst/>
            <a:latin typeface="+mn-lt"/>
            <a:cs typeface="Arial" panose="020B0604020202020204" pitchFamily="34" charset="0"/>
          </a:endParaRPr>
        </a:p>
        <a:p>
          <a:r>
            <a:rPr lang="en-US" sz="1100">
              <a:effectLst/>
              <a:latin typeface="+mn-lt"/>
              <a:cs typeface="Arial" panose="020B0604020202020204" pitchFamily="34" charset="0"/>
            </a:rPr>
            <a:t>It is protected to prevent inadvertent changes, but the protection is without password so that those inclined and suitably knowledgeable may customize the tool. For those that want to edit, note there are two hidden sheets working in the background.</a:t>
          </a:r>
        </a:p>
        <a:p>
          <a:endParaRPr lang="en-US" sz="1100">
            <a:effectLst/>
            <a:latin typeface="+mn-lt"/>
            <a:cs typeface="Arial" panose="020B0604020202020204" pitchFamily="34" charset="0"/>
          </a:endParaRPr>
        </a:p>
        <a:p>
          <a:r>
            <a:rPr lang="en-US" sz="1100">
              <a:effectLst/>
              <a:latin typeface="+mn-lt"/>
              <a:cs typeface="Arial" panose="020B0604020202020204" pitchFamily="34" charset="0"/>
            </a:rPr>
            <a:t>Refer to soil test recommendations to determine target nutrient delivery. This tool does not automatically optimize, but can be useful to assist with calculations regarding nutrient applications and cost with assorted fertilizer combinations.</a:t>
          </a:r>
        </a:p>
        <a:p>
          <a:endParaRPr lang="en-US" sz="1100">
            <a:effectLst/>
            <a:latin typeface="+mn-lt"/>
            <a:cs typeface="Arial" panose="020B0604020202020204" pitchFamily="34" charset="0"/>
          </a:endParaRPr>
        </a:p>
        <a:p>
          <a:r>
            <a:rPr lang="en-US" sz="1100">
              <a:effectLst/>
              <a:latin typeface="+mn-lt"/>
              <a:cs typeface="Arial" panose="020B0604020202020204" pitchFamily="34" charset="0"/>
            </a:rPr>
            <a:t>For those who might use the Purdue Crop Planner (https://ag.purdue.edu/digital-ag-resources/purdue-crop-planning-tool/), the results of this cost analysis can assist with  good values for the FERTILIZER LIST table in the Inputs sheet.</a:t>
          </a:r>
        </a:p>
        <a:p>
          <a:endParaRPr lang="en-US" sz="1100">
            <a:effectLst/>
            <a:latin typeface="+mn-lt"/>
            <a:cs typeface="Arial" panose="020B0604020202020204" pitchFamily="34" charset="0"/>
          </a:endParaRPr>
        </a:p>
        <a:p>
          <a:r>
            <a:rPr lang="en-US" sz="1100">
              <a:effectLst/>
              <a:latin typeface="+mn-lt"/>
              <a:cs typeface="Arial" panose="020B0604020202020204" pitchFamily="34" charset="0"/>
            </a:rPr>
            <a:t>All cells other than inputs (light green) and prices (light blue) are protected so you can't accidently "mess it up", but you can unprotect without password to tailor this if you have the knowledge and interest.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326839</xdr:colOff>
      <xdr:row>4</xdr:row>
      <xdr:rowOff>112059</xdr:rowOff>
    </xdr:from>
    <xdr:to>
      <xdr:col>4</xdr:col>
      <xdr:colOff>2549339</xdr:colOff>
      <xdr:row>22</xdr:row>
      <xdr:rowOff>84044</xdr:rowOff>
    </xdr:to>
    <xdr:pic>
      <xdr:nvPicPr>
        <xdr:cNvPr id="2" name="x_Picture 2">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r:link="rId2" cstate="print">
          <a:extLst>
            <a:ext uri="{28A0092B-C50C-407E-A947-70E740481C1C}">
              <a14:useLocalDpi xmlns:a14="http://schemas.microsoft.com/office/drawing/2010/main" val="0"/>
            </a:ext>
          </a:extLst>
        </a:blip>
        <a:srcRect l="6888" t="4085" r="12280" b="8426"/>
        <a:stretch>
          <a:fillRect/>
        </a:stretch>
      </xdr:blipFill>
      <xdr:spPr bwMode="auto">
        <a:xfrm>
          <a:off x="5014633" y="1008530"/>
          <a:ext cx="2222500" cy="3333750"/>
        </a:xfrm>
        <a:prstGeom prst="rect">
          <a:avLst/>
        </a:prstGeom>
        <a:noFill/>
        <a:ln w="28575">
          <a:solidFill>
            <a:schemeClr val="tx1"/>
          </a:solidFill>
        </a:ln>
      </xdr:spPr>
    </xdr:pic>
    <xdr:clientData/>
  </xdr:twoCellAnchor>
  <mc:AlternateContent xmlns:mc="http://schemas.openxmlformats.org/markup-compatibility/2006">
    <mc:Choice xmlns:a14="http://schemas.microsoft.com/office/drawing/2010/main" Requires="a14">
      <xdr:twoCellAnchor editAs="oneCell">
        <xdr:from>
          <xdr:col>4</xdr:col>
          <xdr:colOff>371475</xdr:colOff>
          <xdr:row>1</xdr:row>
          <xdr:rowOff>180975</xdr:rowOff>
        </xdr:from>
        <xdr:to>
          <xdr:col>4</xdr:col>
          <xdr:colOff>4010025</xdr:colOff>
          <xdr:row>3</xdr:row>
          <xdr:rowOff>114300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solidFill>
              <a:srgbClr val="CC9900">
                <a:alpha val="50000"/>
              </a:srgbClr>
            </a:solidFill>
            <a:ln w="9525">
              <a:solidFill>
                <a:srgbClr val="000000"/>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this box to see formulas and variable names (look "under the hood")</a:t>
              </a:r>
            </a:p>
          </xdr:txBody>
        </xdr:sp>
        <xdr:clientData/>
      </xdr:twoCellAnchor>
    </mc:Choice>
    <mc:Fallback/>
  </mc:AlternateContent>
  <xdr:twoCellAnchor>
    <xdr:from>
      <xdr:col>4</xdr:col>
      <xdr:colOff>2651042</xdr:colOff>
      <xdr:row>4</xdr:row>
      <xdr:rowOff>84323</xdr:rowOff>
    </xdr:from>
    <xdr:to>
      <xdr:col>4</xdr:col>
      <xdr:colOff>6752376</xdr:colOff>
      <xdr:row>22</xdr:row>
      <xdr:rowOff>103738</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7328666" y="980239"/>
          <a:ext cx="4101334" cy="3414464"/>
        </a:xfrm>
        <a:prstGeom prst="rect">
          <a:avLst/>
        </a:prstGeom>
        <a:solidFill>
          <a:schemeClr val="accent3">
            <a:lumMod val="40000"/>
            <a:lumOff val="60000"/>
          </a:schemeClr>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50">
              <a:latin typeface="Arial" panose="020B0604020202020204" pitchFamily="34" charset="0"/>
              <a:cs typeface="Arial" panose="020B0604020202020204" pitchFamily="34" charset="0"/>
            </a:rPr>
            <a:t>Brief instructions:</a:t>
          </a:r>
        </a:p>
        <a:p>
          <a:endParaRPr lang="en-US" sz="1000">
            <a:latin typeface="Arial" panose="020B0604020202020204" pitchFamily="34" charset="0"/>
            <a:cs typeface="Arial" panose="020B0604020202020204" pitchFamily="34" charset="0"/>
          </a:endParaRPr>
        </a:p>
        <a:p>
          <a:r>
            <a:rPr lang="en-US" sz="1150">
              <a:latin typeface="Arial" panose="020B0604020202020204" pitchFamily="34" charset="0"/>
              <a:cs typeface="Arial" panose="020B0604020202020204" pitchFamily="34" charset="0"/>
            </a:rPr>
            <a:t>We hope this tool is simple enough to</a:t>
          </a:r>
          <a:r>
            <a:rPr lang="en-US" sz="1150" baseline="0">
              <a:latin typeface="Arial" panose="020B0604020202020204" pitchFamily="34" charset="0"/>
              <a:cs typeface="Arial" panose="020B0604020202020204" pitchFamily="34" charset="0"/>
            </a:rPr>
            <a:t> avoid the need for a user manual. Also see credits in A2.</a:t>
          </a:r>
        </a:p>
        <a:p>
          <a:endParaRPr lang="en-US" sz="1000" baseline="0">
            <a:latin typeface="Arial" panose="020B0604020202020204" pitchFamily="34" charset="0"/>
            <a:cs typeface="Arial" panose="020B0604020202020204" pitchFamily="34" charset="0"/>
          </a:endParaRPr>
        </a:p>
        <a:p>
          <a:r>
            <a:rPr lang="en-US" sz="1150" baseline="0">
              <a:latin typeface="Arial" panose="020B0604020202020204" pitchFamily="34" charset="0"/>
              <a:cs typeface="Arial" panose="020B0604020202020204" pitchFamily="34" charset="0"/>
            </a:rPr>
            <a:t>Inputs are required and each item must be correct for each management zone. Most items use data validation to be sure inputs are valid.</a:t>
          </a:r>
        </a:p>
        <a:p>
          <a:endParaRPr lang="en-US" sz="1000" baseline="0">
            <a:latin typeface="Arial" panose="020B0604020202020204" pitchFamily="34" charset="0"/>
            <a:cs typeface="Arial" panose="020B0604020202020204" pitchFamily="34" charset="0"/>
          </a:endParaRPr>
        </a:p>
        <a:p>
          <a:r>
            <a:rPr lang="en-US" sz="1150" baseline="0">
              <a:latin typeface="Arial" panose="020B0604020202020204" pitchFamily="34" charset="0"/>
              <a:cs typeface="Arial" panose="020B0604020202020204" pitchFamily="34" charset="0"/>
            </a:rPr>
            <a:t>Updating prices in "fertilizer table" on the FertCosts sheet can help you with row 18 (price of N fertilizer) of "recommendation tool", but the connection is not automatic.</a:t>
          </a:r>
        </a:p>
        <a:p>
          <a:endParaRPr lang="en-US" sz="1000" baseline="0">
            <a:latin typeface="Arial" panose="020B0604020202020204" pitchFamily="34" charset="0"/>
            <a:cs typeface="Arial" panose="020B0604020202020204" pitchFamily="34" charset="0"/>
          </a:endParaRPr>
        </a:p>
        <a:p>
          <a:r>
            <a:rPr lang="en-US" sz="1150" b="1" baseline="0">
              <a:latin typeface="Arial" panose="020B0604020202020204" pitchFamily="34" charset="0"/>
              <a:cs typeface="Arial" panose="020B0604020202020204" pitchFamily="34" charset="0"/>
            </a:rPr>
            <a:t>Some inputs are dependent upon others.</a:t>
          </a:r>
          <a:r>
            <a:rPr lang="en-US" sz="1150" baseline="0">
              <a:latin typeface="Arial" panose="020B0604020202020204" pitchFamily="34" charset="0"/>
              <a:cs typeface="Arial" panose="020B0604020202020204" pitchFamily="34" charset="0"/>
            </a:rPr>
            <a:t> For example, soil test phosphorus input depends upon the units of your soil test phosphorus, so if you change units, change the value. Likewise, crop yield goal limitations vary among crops. </a:t>
          </a:r>
          <a:r>
            <a:rPr lang="en-US" sz="1150" b="1" baseline="0">
              <a:solidFill>
                <a:srgbClr val="FF0000"/>
              </a:solidFill>
              <a:latin typeface="Arial" panose="020B0604020202020204" pitchFamily="34" charset="0"/>
              <a:cs typeface="Arial" panose="020B0604020202020204" pitchFamily="34" charset="0"/>
            </a:rPr>
            <a:t>THEREFORE, YOU MUST make all changes in a top-to-bottom sequence</a:t>
          </a:r>
          <a:r>
            <a:rPr lang="en-US" sz="1150" baseline="0">
              <a:solidFill>
                <a:srgbClr val="FF0000"/>
              </a:solidFill>
              <a:latin typeface="Arial" panose="020B0604020202020204" pitchFamily="34" charset="0"/>
              <a:cs typeface="Arial" panose="020B0604020202020204" pitchFamily="34" charset="0"/>
            </a:rPr>
            <a:t> </a:t>
          </a:r>
          <a:r>
            <a:rPr lang="en-US" sz="1150" baseline="0">
              <a:latin typeface="Arial" panose="020B0604020202020204" pitchFamily="34" charset="0"/>
              <a:cs typeface="Arial" panose="020B0604020202020204" pitchFamily="34" charset="0"/>
            </a:rPr>
            <a:t>to be sure you have good units &amp; values match.</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48987</xdr:colOff>
      <xdr:row>48</xdr:row>
      <xdr:rowOff>146956</xdr:rowOff>
    </xdr:from>
    <xdr:to>
      <xdr:col>8</xdr:col>
      <xdr:colOff>584797</xdr:colOff>
      <xdr:row>57</xdr:row>
      <xdr:rowOff>50869</xdr:rowOff>
    </xdr:to>
    <xdr:pic>
      <xdr:nvPicPr>
        <xdr:cNvPr id="2" name="x_Picture 2">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566558" y="10243456"/>
          <a:ext cx="1145410" cy="1618413"/>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628650</xdr:colOff>
          <xdr:row>2</xdr:row>
          <xdr:rowOff>104775</xdr:rowOff>
        </xdr:from>
        <xdr:to>
          <xdr:col>7</xdr:col>
          <xdr:colOff>2381250</xdr:colOff>
          <xdr:row>5</xdr:row>
          <xdr:rowOff>28575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solidFill>
              <a:srgbClr val="FCEBDD"/>
            </a:solidFill>
            <a:ln w="12700">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this box to see formulas (otherwise they are hidden)</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5</xdr:col>
      <xdr:colOff>550446</xdr:colOff>
      <xdr:row>12</xdr:row>
      <xdr:rowOff>104276</xdr:rowOff>
    </xdr:from>
    <xdr:to>
      <xdr:col>13</xdr:col>
      <xdr:colOff>229604</xdr:colOff>
      <xdr:row>30</xdr:row>
      <xdr:rowOff>187492</xdr:rowOff>
    </xdr:to>
    <xdr:graphicFrame macro="">
      <xdr:nvGraphicFramePr>
        <xdr:cNvPr id="7" name="Chart 6">
          <a:extLst>
            <a:ext uri="{FF2B5EF4-FFF2-40B4-BE49-F238E27FC236}">
              <a16:creationId xmlns:a16="http://schemas.microsoft.com/office/drawing/2014/main" id="{00000000-0008-0000-04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605589</xdr:colOff>
      <xdr:row>14</xdr:row>
      <xdr:rowOff>187492</xdr:rowOff>
    </xdr:from>
    <xdr:to>
      <xdr:col>12</xdr:col>
      <xdr:colOff>605589</xdr:colOff>
      <xdr:row>27</xdr:row>
      <xdr:rowOff>182479</xdr:rowOff>
    </xdr:to>
    <xdr:cxnSp macro="">
      <xdr:nvCxnSpPr>
        <xdr:cNvPr id="9" name="Straight Connector 8">
          <a:extLst>
            <a:ext uri="{FF2B5EF4-FFF2-40B4-BE49-F238E27FC236}">
              <a16:creationId xmlns:a16="http://schemas.microsoft.com/office/drawing/2014/main" id="{00000000-0008-0000-0400-000009000000}"/>
            </a:ext>
          </a:extLst>
        </xdr:cNvPr>
        <xdr:cNvCxnSpPr/>
      </xdr:nvCxnSpPr>
      <xdr:spPr>
        <a:xfrm flipV="1">
          <a:off x="4263189" y="2854492"/>
          <a:ext cx="3657600" cy="247148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CP.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buckmas\AppData\Local\Microsoft\Windows\INetCache\Content.Outlook\5NM7T5VM\Copy%20of%20Grain_Inventor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Fields"/>
      <sheetName val="Inputs"/>
      <sheetName val="By-Field"/>
      <sheetName val="FertCosts"/>
    </sheetNames>
    <sheetDataSet>
      <sheetData sheetId="0" refreshError="1"/>
      <sheetData sheetId="1">
        <row r="4">
          <cell r="B4" t="str">
            <v>testing123_123</v>
          </cell>
          <cell r="C4">
            <v>123</v>
          </cell>
          <cell r="D4">
            <v>95</v>
          </cell>
          <cell r="E4">
            <v>1</v>
          </cell>
        </row>
        <row r="5">
          <cell r="B5" t="str">
            <v>north40_40</v>
          </cell>
          <cell r="C5">
            <v>40</v>
          </cell>
          <cell r="D5">
            <v>108</v>
          </cell>
          <cell r="E5">
            <v>1</v>
          </cell>
        </row>
        <row r="6">
          <cell r="B6" t="str">
            <v>back20a_15</v>
          </cell>
          <cell r="C6">
            <v>15</v>
          </cell>
          <cell r="D6">
            <v>100</v>
          </cell>
          <cell r="E6">
            <v>1</v>
          </cell>
        </row>
        <row r="7">
          <cell r="B7" t="str">
            <v>back20b_5</v>
          </cell>
          <cell r="C7">
            <v>5</v>
          </cell>
          <cell r="D7">
            <v>120</v>
          </cell>
          <cell r="E7">
            <v>1</v>
          </cell>
        </row>
        <row r="8">
          <cell r="B8" t="str">
            <v>Big1_244</v>
          </cell>
          <cell r="C8">
            <v>244</v>
          </cell>
          <cell r="D8">
            <v>98</v>
          </cell>
          <cell r="E8">
            <v>1</v>
          </cell>
        </row>
        <row r="9">
          <cell r="B9" t="str">
            <v>Jones_35</v>
          </cell>
          <cell r="C9">
            <v>35</v>
          </cell>
          <cell r="D9">
            <v>110</v>
          </cell>
          <cell r="E9">
            <v>0</v>
          </cell>
        </row>
      </sheetData>
      <sheetData sheetId="2">
        <row r="4">
          <cell r="B4" t="str">
            <v>Becks1_30_I</v>
          </cell>
          <cell r="C4">
            <v>300</v>
          </cell>
          <cell r="D4">
            <v>30000</v>
          </cell>
          <cell r="E4">
            <v>90</v>
          </cell>
          <cell r="F4">
            <v>2200</v>
          </cell>
          <cell r="G4">
            <v>1300</v>
          </cell>
          <cell r="H4" t="str">
            <v>Ilevo</v>
          </cell>
        </row>
        <row r="5">
          <cell r="B5" t="str">
            <v>Becks1-25_I</v>
          </cell>
          <cell r="C5">
            <v>300</v>
          </cell>
          <cell r="D5">
            <v>25000</v>
          </cell>
          <cell r="E5">
            <v>75</v>
          </cell>
          <cell r="F5">
            <v>2200</v>
          </cell>
          <cell r="G5">
            <v>1300</v>
          </cell>
          <cell r="H5" t="str">
            <v>Ilevo</v>
          </cell>
        </row>
        <row r="6">
          <cell r="B6" t="str">
            <v>Xpensive2_32_N</v>
          </cell>
          <cell r="C6">
            <v>425</v>
          </cell>
          <cell r="D6">
            <v>32000</v>
          </cell>
          <cell r="E6">
            <v>136</v>
          </cell>
          <cell r="F6">
            <v>2600</v>
          </cell>
          <cell r="G6">
            <v>1600</v>
          </cell>
          <cell r="H6" t="str">
            <v>Neo</v>
          </cell>
        </row>
        <row r="7">
          <cell r="B7" t="str">
            <v>Xpensive2-28_N</v>
          </cell>
          <cell r="C7">
            <v>425</v>
          </cell>
          <cell r="D7">
            <v>28000</v>
          </cell>
          <cell r="E7">
            <v>119.00000000000001</v>
          </cell>
          <cell r="F7">
            <v>2600</v>
          </cell>
          <cell r="G7">
            <v>1600</v>
          </cell>
          <cell r="H7" t="str">
            <v>Neo</v>
          </cell>
        </row>
        <row r="8">
          <cell r="B8" t="str">
            <v>Xpensive2_32</v>
          </cell>
          <cell r="C8">
            <v>400</v>
          </cell>
          <cell r="D8">
            <v>32000</v>
          </cell>
          <cell r="E8">
            <v>128</v>
          </cell>
          <cell r="F8">
            <v>2600</v>
          </cell>
          <cell r="G8">
            <v>1600</v>
          </cell>
          <cell r="H8" t="str">
            <v>none</v>
          </cell>
        </row>
        <row r="9">
          <cell r="B9" t="str">
            <v>Xpensive2-28</v>
          </cell>
          <cell r="C9">
            <v>400</v>
          </cell>
          <cell r="D9">
            <v>28000</v>
          </cell>
          <cell r="E9">
            <v>112</v>
          </cell>
          <cell r="F9">
            <v>2600</v>
          </cell>
          <cell r="G9">
            <v>1600</v>
          </cell>
          <cell r="H9" t="str">
            <v>none</v>
          </cell>
        </row>
        <row r="10">
          <cell r="E10">
            <v>0</v>
          </cell>
        </row>
        <row r="11">
          <cell r="E11">
            <v>0</v>
          </cell>
        </row>
        <row r="12">
          <cell r="E12">
            <v>0</v>
          </cell>
        </row>
        <row r="13">
          <cell r="B13" t="str">
            <v>Beans1</v>
          </cell>
          <cell r="C13">
            <v>100</v>
          </cell>
          <cell r="D13">
            <v>80000</v>
          </cell>
          <cell r="E13">
            <v>80</v>
          </cell>
        </row>
        <row r="14">
          <cell r="E14">
            <v>0</v>
          </cell>
        </row>
        <row r="15">
          <cell r="E15">
            <v>0</v>
          </cell>
        </row>
        <row r="16">
          <cell r="E16">
            <v>0</v>
          </cell>
        </row>
        <row r="17">
          <cell r="E17">
            <v>0</v>
          </cell>
        </row>
        <row r="18">
          <cell r="E18">
            <v>0</v>
          </cell>
        </row>
        <row r="19">
          <cell r="E19">
            <v>0</v>
          </cell>
        </row>
        <row r="20">
          <cell r="E20">
            <v>0</v>
          </cell>
        </row>
        <row r="21">
          <cell r="E21">
            <v>0</v>
          </cell>
        </row>
        <row r="22">
          <cell r="E22">
            <v>0</v>
          </cell>
        </row>
        <row r="23">
          <cell r="E23">
            <v>0</v>
          </cell>
        </row>
        <row r="24">
          <cell r="E24">
            <v>0</v>
          </cell>
        </row>
        <row r="25">
          <cell r="E25">
            <v>0</v>
          </cell>
        </row>
        <row r="26">
          <cell r="E26">
            <v>0</v>
          </cell>
        </row>
        <row r="27">
          <cell r="E27">
            <v>0</v>
          </cell>
        </row>
        <row r="28">
          <cell r="E28">
            <v>0</v>
          </cell>
        </row>
        <row r="29">
          <cell r="E29">
            <v>0</v>
          </cell>
        </row>
        <row r="30">
          <cell r="E30">
            <v>0</v>
          </cell>
        </row>
        <row r="31">
          <cell r="E31">
            <v>0</v>
          </cell>
        </row>
        <row r="32">
          <cell r="E32">
            <v>0</v>
          </cell>
        </row>
        <row r="33">
          <cell r="E33">
            <v>0</v>
          </cell>
        </row>
        <row r="44">
          <cell r="B44" t="str">
            <v>nul - nothing</v>
          </cell>
          <cell r="C44">
            <v>0</v>
          </cell>
          <cell r="D44">
            <v>0</v>
          </cell>
          <cell r="E44">
            <v>0</v>
          </cell>
        </row>
        <row r="45">
          <cell r="B45" t="str">
            <v>82-0-0-0_120</v>
          </cell>
          <cell r="C45">
            <v>800</v>
          </cell>
          <cell r="D45">
            <v>120</v>
          </cell>
          <cell r="E45">
            <v>48</v>
          </cell>
          <cell r="F45">
            <v>82</v>
          </cell>
          <cell r="G45">
            <v>0</v>
          </cell>
          <cell r="H45">
            <v>0</v>
          </cell>
          <cell r="I45">
            <v>0</v>
          </cell>
        </row>
        <row r="46">
          <cell r="B46" t="str">
            <v>82-0-0-0_150</v>
          </cell>
          <cell r="C46">
            <v>800</v>
          </cell>
          <cell r="D46">
            <v>150</v>
          </cell>
          <cell r="E46">
            <v>60</v>
          </cell>
          <cell r="F46">
            <v>82</v>
          </cell>
          <cell r="G46">
            <v>0</v>
          </cell>
          <cell r="H46">
            <v>0</v>
          </cell>
          <cell r="I46">
            <v>0</v>
          </cell>
        </row>
        <row r="47">
          <cell r="B47" t="str">
            <v>18-46-0-0_40</v>
          </cell>
          <cell r="C47">
            <v>600</v>
          </cell>
          <cell r="D47">
            <v>40</v>
          </cell>
          <cell r="E47">
            <v>12</v>
          </cell>
          <cell r="F47">
            <v>18</v>
          </cell>
          <cell r="G47">
            <v>46</v>
          </cell>
          <cell r="H47">
            <v>0</v>
          </cell>
          <cell r="I47">
            <v>0</v>
          </cell>
        </row>
        <row r="48">
          <cell r="B48" t="str">
            <v>18-46-0-0_60</v>
          </cell>
          <cell r="C48">
            <v>600</v>
          </cell>
          <cell r="D48">
            <v>60</v>
          </cell>
          <cell r="E48">
            <v>18</v>
          </cell>
          <cell r="F48">
            <v>18</v>
          </cell>
          <cell r="G48">
            <v>46</v>
          </cell>
          <cell r="H48">
            <v>0</v>
          </cell>
          <cell r="I48">
            <v>0</v>
          </cell>
        </row>
        <row r="49">
          <cell r="B49" t="str">
            <v>0-0-60-0_50</v>
          </cell>
          <cell r="C49">
            <v>602</v>
          </cell>
          <cell r="D49">
            <v>50</v>
          </cell>
          <cell r="E49">
            <v>15.05</v>
          </cell>
          <cell r="F49">
            <v>0</v>
          </cell>
          <cell r="G49">
            <v>0</v>
          </cell>
          <cell r="H49">
            <v>60</v>
          </cell>
          <cell r="I49">
            <v>0</v>
          </cell>
        </row>
        <row r="50">
          <cell r="B50" t="str">
            <v>28-0-0-0_70</v>
          </cell>
          <cell r="C50">
            <v>360</v>
          </cell>
          <cell r="D50">
            <v>70</v>
          </cell>
          <cell r="E50">
            <v>12.6</v>
          </cell>
          <cell r="F50">
            <v>28</v>
          </cell>
          <cell r="G50">
            <v>0</v>
          </cell>
          <cell r="H50">
            <v>0</v>
          </cell>
          <cell r="I50">
            <v>0</v>
          </cell>
        </row>
        <row r="51">
          <cell r="B51" t="str">
            <v>46-0-0-0_40</v>
          </cell>
          <cell r="C51">
            <v>550</v>
          </cell>
          <cell r="D51">
            <v>40</v>
          </cell>
          <cell r="E51">
            <v>11</v>
          </cell>
          <cell r="F51">
            <v>46</v>
          </cell>
          <cell r="G51">
            <v>0</v>
          </cell>
          <cell r="H51">
            <v>0</v>
          </cell>
          <cell r="I51">
            <v>0</v>
          </cell>
        </row>
        <row r="52">
          <cell r="B52" t="str">
            <v>0-0-0-17_20</v>
          </cell>
          <cell r="C52">
            <v>58</v>
          </cell>
          <cell r="D52">
            <v>20</v>
          </cell>
          <cell r="E52">
            <v>0.57999999999999996</v>
          </cell>
          <cell r="F52">
            <v>0</v>
          </cell>
          <cell r="G52">
            <v>0</v>
          </cell>
          <cell r="H52">
            <v>0</v>
          </cell>
          <cell r="I52">
            <v>17</v>
          </cell>
        </row>
        <row r="53">
          <cell r="E53">
            <v>0</v>
          </cell>
        </row>
        <row r="54">
          <cell r="E54">
            <v>0</v>
          </cell>
        </row>
        <row r="55">
          <cell r="E55">
            <v>0</v>
          </cell>
        </row>
        <row r="56">
          <cell r="E56">
            <v>0</v>
          </cell>
        </row>
        <row r="57">
          <cell r="E57">
            <v>0</v>
          </cell>
        </row>
        <row r="58">
          <cell r="E58">
            <v>0</v>
          </cell>
        </row>
        <row r="59">
          <cell r="E59">
            <v>0</v>
          </cell>
        </row>
        <row r="60">
          <cell r="E60">
            <v>0</v>
          </cell>
        </row>
        <row r="61">
          <cell r="E61">
            <v>0</v>
          </cell>
        </row>
        <row r="62">
          <cell r="E62">
            <v>0</v>
          </cell>
        </row>
        <row r="63">
          <cell r="E63">
            <v>0</v>
          </cell>
        </row>
        <row r="64">
          <cell r="E64">
            <v>0</v>
          </cell>
        </row>
        <row r="65">
          <cell r="E65">
            <v>0</v>
          </cell>
        </row>
        <row r="66">
          <cell r="E66">
            <v>0</v>
          </cell>
        </row>
        <row r="67">
          <cell r="E67">
            <v>0</v>
          </cell>
        </row>
        <row r="68">
          <cell r="E68">
            <v>0</v>
          </cell>
        </row>
        <row r="69">
          <cell r="E69">
            <v>0</v>
          </cell>
        </row>
        <row r="70">
          <cell r="E70">
            <v>0</v>
          </cell>
        </row>
        <row r="71">
          <cell r="E71">
            <v>0</v>
          </cell>
        </row>
        <row r="72">
          <cell r="E72">
            <v>0</v>
          </cell>
        </row>
        <row r="73">
          <cell r="E73">
            <v>0</v>
          </cell>
        </row>
        <row r="84">
          <cell r="B84" t="str">
            <v>nul - nothing</v>
          </cell>
          <cell r="C84">
            <v>0</v>
          </cell>
          <cell r="D84">
            <v>0</v>
          </cell>
          <cell r="E84">
            <v>0</v>
          </cell>
        </row>
        <row r="85">
          <cell r="B85" t="str">
            <v>Herb1_1</v>
          </cell>
          <cell r="C85">
            <v>80</v>
          </cell>
          <cell r="D85">
            <v>2</v>
          </cell>
          <cell r="E85">
            <v>20</v>
          </cell>
        </row>
        <row r="86">
          <cell r="B86" t="str">
            <v>Herb1_1.5</v>
          </cell>
          <cell r="C86">
            <v>80</v>
          </cell>
          <cell r="D86">
            <v>1.5</v>
          </cell>
          <cell r="E86">
            <v>15</v>
          </cell>
        </row>
        <row r="87">
          <cell r="B87" t="str">
            <v>Herb 3</v>
          </cell>
          <cell r="C87">
            <v>60</v>
          </cell>
          <cell r="D87">
            <v>2</v>
          </cell>
          <cell r="E87">
            <v>15</v>
          </cell>
        </row>
        <row r="88">
          <cell r="E88">
            <v>0</v>
          </cell>
        </row>
        <row r="89">
          <cell r="E89">
            <v>0</v>
          </cell>
        </row>
        <row r="90">
          <cell r="E90">
            <v>0</v>
          </cell>
        </row>
        <row r="91">
          <cell r="E91">
            <v>0</v>
          </cell>
        </row>
        <row r="92">
          <cell r="E92">
            <v>0</v>
          </cell>
        </row>
        <row r="93">
          <cell r="E93">
            <v>0</v>
          </cell>
        </row>
        <row r="94">
          <cell r="E94">
            <v>0</v>
          </cell>
        </row>
        <row r="95">
          <cell r="E95">
            <v>0</v>
          </cell>
        </row>
        <row r="96">
          <cell r="E96">
            <v>0</v>
          </cell>
        </row>
        <row r="97">
          <cell r="E97">
            <v>0</v>
          </cell>
        </row>
        <row r="98">
          <cell r="E98">
            <v>0</v>
          </cell>
        </row>
        <row r="99">
          <cell r="E99">
            <v>0</v>
          </cell>
        </row>
        <row r="100">
          <cell r="E100">
            <v>0</v>
          </cell>
        </row>
        <row r="101">
          <cell r="E101">
            <v>0</v>
          </cell>
        </row>
        <row r="102">
          <cell r="E102">
            <v>0</v>
          </cell>
        </row>
        <row r="103">
          <cell r="E103">
            <v>0</v>
          </cell>
        </row>
        <row r="104">
          <cell r="E104">
            <v>0</v>
          </cell>
        </row>
        <row r="105">
          <cell r="E105">
            <v>0</v>
          </cell>
        </row>
        <row r="106">
          <cell r="E106">
            <v>0</v>
          </cell>
        </row>
        <row r="107">
          <cell r="E107">
            <v>0</v>
          </cell>
        </row>
        <row r="108">
          <cell r="E108">
            <v>0</v>
          </cell>
        </row>
        <row r="109">
          <cell r="E109">
            <v>0</v>
          </cell>
        </row>
        <row r="110">
          <cell r="E110">
            <v>0</v>
          </cell>
        </row>
        <row r="111">
          <cell r="E111">
            <v>0</v>
          </cell>
        </row>
        <row r="112">
          <cell r="E112">
            <v>0</v>
          </cell>
        </row>
        <row r="113">
          <cell r="E113">
            <v>0</v>
          </cell>
        </row>
        <row r="124">
          <cell r="B124" t="str">
            <v>nul - nothing</v>
          </cell>
          <cell r="C124">
            <v>0</v>
          </cell>
          <cell r="D124">
            <v>0</v>
          </cell>
          <cell r="E124">
            <v>0</v>
          </cell>
        </row>
        <row r="125">
          <cell r="B125" t="str">
            <v>Inse1_.5</v>
          </cell>
          <cell r="C125">
            <v>80</v>
          </cell>
          <cell r="D125">
            <v>0.5</v>
          </cell>
          <cell r="E125">
            <v>5</v>
          </cell>
        </row>
        <row r="126">
          <cell r="B126" t="str">
            <v>Inse1_1</v>
          </cell>
          <cell r="C126">
            <v>80</v>
          </cell>
          <cell r="D126">
            <v>1</v>
          </cell>
          <cell r="E126">
            <v>10</v>
          </cell>
        </row>
        <row r="127">
          <cell r="E127">
            <v>0</v>
          </cell>
        </row>
        <row r="128">
          <cell r="E128">
            <v>0</v>
          </cell>
        </row>
        <row r="129">
          <cell r="E129">
            <v>0</v>
          </cell>
        </row>
        <row r="130">
          <cell r="E130">
            <v>0</v>
          </cell>
        </row>
        <row r="131">
          <cell r="E131">
            <v>0</v>
          </cell>
        </row>
        <row r="132">
          <cell r="E132">
            <v>0</v>
          </cell>
        </row>
        <row r="133">
          <cell r="E133">
            <v>0</v>
          </cell>
        </row>
        <row r="144">
          <cell r="B144" t="str">
            <v>nul - nothing</v>
          </cell>
          <cell r="C144">
            <v>0</v>
          </cell>
          <cell r="D144">
            <v>0</v>
          </cell>
          <cell r="E144">
            <v>0</v>
          </cell>
        </row>
        <row r="145">
          <cell r="B145" t="str">
            <v>Fung_1</v>
          </cell>
          <cell r="C145">
            <v>80</v>
          </cell>
          <cell r="D145">
            <v>2</v>
          </cell>
          <cell r="E145">
            <v>10</v>
          </cell>
        </row>
        <row r="146">
          <cell r="B146" t="str">
            <v>Fung_2</v>
          </cell>
          <cell r="C146">
            <v>70</v>
          </cell>
          <cell r="D146">
            <v>1</v>
          </cell>
          <cell r="E146">
            <v>4.375</v>
          </cell>
        </row>
        <row r="147">
          <cell r="E147">
            <v>0</v>
          </cell>
        </row>
        <row r="148">
          <cell r="E148">
            <v>0</v>
          </cell>
        </row>
        <row r="149">
          <cell r="E149">
            <v>0</v>
          </cell>
        </row>
        <row r="150">
          <cell r="E150">
            <v>0</v>
          </cell>
        </row>
        <row r="151">
          <cell r="E151">
            <v>0</v>
          </cell>
        </row>
        <row r="152">
          <cell r="E152">
            <v>0</v>
          </cell>
        </row>
        <row r="153">
          <cell r="E153">
            <v>0</v>
          </cell>
        </row>
      </sheetData>
      <sheetData sheetId="3">
        <row r="3">
          <cell r="B3" t="str">
            <v>name</v>
          </cell>
          <cell r="C3" t="str">
            <v xml:space="preserve"> -- </v>
          </cell>
          <cell r="D3" t="str">
            <v>Big1_244</v>
          </cell>
          <cell r="E3" t="str">
            <v>north40_40</v>
          </cell>
          <cell r="F3" t="str">
            <v>back20b_5</v>
          </cell>
        </row>
        <row r="6">
          <cell r="B6" t="str">
            <v>yield goal</v>
          </cell>
          <cell r="C6" t="str">
            <v>bu/ac</v>
          </cell>
          <cell r="D6">
            <v>180</v>
          </cell>
          <cell r="E6">
            <v>177</v>
          </cell>
          <cell r="F6">
            <v>180</v>
          </cell>
        </row>
        <row r="7">
          <cell r="B7" t="str">
            <v>selling price</v>
          </cell>
          <cell r="C7" t="str">
            <v>$/bu</v>
          </cell>
          <cell r="D7">
            <v>3.33</v>
          </cell>
          <cell r="E7">
            <v>3.33</v>
          </cell>
          <cell r="F7">
            <v>3.33</v>
          </cell>
        </row>
        <row r="9">
          <cell r="B9" t="str">
            <v>other income 1</v>
          </cell>
          <cell r="C9" t="str">
            <v>$/ac</v>
          </cell>
          <cell r="D9">
            <v>2</v>
          </cell>
          <cell r="E9">
            <v>2</v>
          </cell>
          <cell r="F9">
            <v>2</v>
          </cell>
        </row>
        <row r="10">
          <cell r="B10" t="str">
            <v>other income 2</v>
          </cell>
          <cell r="C10" t="str">
            <v>$/ac</v>
          </cell>
          <cell r="D10">
            <v>0</v>
          </cell>
          <cell r="E10">
            <v>0</v>
          </cell>
          <cell r="F10">
            <v>0</v>
          </cell>
        </row>
        <row r="14">
          <cell r="B14" t="str">
            <v>land cost</v>
          </cell>
          <cell r="C14" t="str">
            <v>$/ac</v>
          </cell>
          <cell r="D14">
            <v>180</v>
          </cell>
          <cell r="E14">
            <v>150</v>
          </cell>
          <cell r="F14">
            <v>150</v>
          </cell>
        </row>
        <row r="15">
          <cell r="B15" t="str">
            <v>which seed</v>
          </cell>
          <cell r="C15" t="str">
            <v xml:space="preserve"> -- </v>
          </cell>
          <cell r="D15" t="str">
            <v>Xpensive2-28_N</v>
          </cell>
          <cell r="E15" t="str">
            <v>Becks1_30_I</v>
          </cell>
          <cell r="F15" t="str">
            <v>Xpensive2-28</v>
          </cell>
        </row>
        <row r="16">
          <cell r="B16" t="str">
            <v>which fertilizer1</v>
          </cell>
          <cell r="C16" t="str">
            <v xml:space="preserve"> -- </v>
          </cell>
          <cell r="D16" t="str">
            <v>82-0-0-0_150</v>
          </cell>
          <cell r="E16" t="str">
            <v>82-0-0-0_150</v>
          </cell>
          <cell r="F16" t="str">
            <v>82-0-0-0_150</v>
          </cell>
        </row>
        <row r="17">
          <cell r="B17" t="str">
            <v>which fertilizer 2</v>
          </cell>
          <cell r="C17" t="str">
            <v xml:space="preserve"> -- </v>
          </cell>
          <cell r="D17" t="str">
            <v>18-46-0-0_60</v>
          </cell>
          <cell r="E17" t="str">
            <v>18-46-0-0_60</v>
          </cell>
          <cell r="F17" t="str">
            <v>0-0-60-0_50</v>
          </cell>
        </row>
        <row r="18">
          <cell r="B18" t="str">
            <v>which fertilizer 3</v>
          </cell>
          <cell r="C18" t="str">
            <v xml:space="preserve"> -- </v>
          </cell>
          <cell r="D18" t="str">
            <v>28-0-0-0_70</v>
          </cell>
          <cell r="E18" t="str">
            <v>28-0-0-0_70</v>
          </cell>
          <cell r="F18" t="str">
            <v>18-46-0-0_60</v>
          </cell>
        </row>
        <row r="19">
          <cell r="B19" t="str">
            <v>which fertilizer 4</v>
          </cell>
          <cell r="C19" t="str">
            <v>--</v>
          </cell>
          <cell r="D19" t="str">
            <v>0-0-0-17_20</v>
          </cell>
          <cell r="E19" t="str">
            <v>nul - nothing</v>
          </cell>
          <cell r="F19" t="str">
            <v>nul - nothing</v>
          </cell>
        </row>
        <row r="20">
          <cell r="B20" t="str">
            <v>which herbicide 1</v>
          </cell>
          <cell r="C20" t="str">
            <v xml:space="preserve"> -- </v>
          </cell>
          <cell r="D20" t="str">
            <v>nul - nothing</v>
          </cell>
          <cell r="E20" t="str">
            <v>nul - nothing</v>
          </cell>
          <cell r="F20" t="str">
            <v>nul - nothing</v>
          </cell>
        </row>
        <row r="21">
          <cell r="B21" t="str">
            <v>which herbicide 2</v>
          </cell>
          <cell r="C21" t="str">
            <v xml:space="preserve"> -- </v>
          </cell>
          <cell r="D21" t="str">
            <v>Herb1_1</v>
          </cell>
          <cell r="E21" t="str">
            <v>Herb1_1</v>
          </cell>
          <cell r="F21" t="str">
            <v>Herb1_1</v>
          </cell>
        </row>
        <row r="22">
          <cell r="B22" t="str">
            <v>which herbicide 3</v>
          </cell>
          <cell r="C22" t="str">
            <v xml:space="preserve"> -- </v>
          </cell>
          <cell r="D22" t="str">
            <v>nul - nothing</v>
          </cell>
          <cell r="E22" t="str">
            <v>nul - nothing</v>
          </cell>
          <cell r="F22" t="str">
            <v>nul - nothing</v>
          </cell>
        </row>
        <row r="23">
          <cell r="B23" t="str">
            <v>which insecticide 1</v>
          </cell>
          <cell r="C23" t="str">
            <v xml:space="preserve"> -- </v>
          </cell>
          <cell r="D23" t="str">
            <v>Inse1_.5</v>
          </cell>
          <cell r="E23" t="str">
            <v>Inse1_.5</v>
          </cell>
          <cell r="F23" t="str">
            <v>Inse1_.5</v>
          </cell>
        </row>
        <row r="24">
          <cell r="B24" t="str">
            <v>which insecticide 2</v>
          </cell>
          <cell r="C24" t="str">
            <v xml:space="preserve"> -- </v>
          </cell>
          <cell r="D24" t="str">
            <v>Inse1_1</v>
          </cell>
          <cell r="E24" t="str">
            <v>Inse1_1</v>
          </cell>
          <cell r="F24" t="str">
            <v>nul - nothing</v>
          </cell>
        </row>
        <row r="25">
          <cell r="B25" t="str">
            <v>which fungicide 1</v>
          </cell>
          <cell r="C25" t="str">
            <v xml:space="preserve"> -- </v>
          </cell>
          <cell r="D25" t="str">
            <v>Fung_1</v>
          </cell>
          <cell r="E25" t="str">
            <v>Fung_1</v>
          </cell>
          <cell r="F25" t="str">
            <v>Fung_1</v>
          </cell>
        </row>
        <row r="26">
          <cell r="B26" t="str">
            <v>which fungicide 2</v>
          </cell>
          <cell r="C26" t="str">
            <v xml:space="preserve"> -- </v>
          </cell>
          <cell r="D26" t="str">
            <v>Fung_2</v>
          </cell>
          <cell r="E26" t="str">
            <v>Fung_2</v>
          </cell>
          <cell r="F26" t="str">
            <v>Fung_2</v>
          </cell>
        </row>
        <row r="27">
          <cell r="B27" t="str">
            <v>crop insurance</v>
          </cell>
          <cell r="C27" t="str">
            <v>$/ac</v>
          </cell>
          <cell r="D27">
            <v>4.4400000000000004</v>
          </cell>
          <cell r="E27">
            <v>4.4400000000000004</v>
          </cell>
          <cell r="F27">
            <v>4.4400000000000004</v>
          </cell>
        </row>
        <row r="28">
          <cell r="B28" t="str">
            <v>scouting</v>
          </cell>
          <cell r="C28" t="str">
            <v>$/ac</v>
          </cell>
          <cell r="D28">
            <v>6</v>
          </cell>
          <cell r="E28">
            <v>6</v>
          </cell>
          <cell r="F28">
            <v>6</v>
          </cell>
        </row>
        <row r="29">
          <cell r="B29" t="str">
            <v>other misc. inputs</v>
          </cell>
          <cell r="C29" t="str">
            <v>$/ac</v>
          </cell>
          <cell r="D29">
            <v>0.02</v>
          </cell>
          <cell r="E29">
            <v>0.02</v>
          </cell>
          <cell r="F29">
            <v>0.02</v>
          </cell>
        </row>
        <row r="31">
          <cell r="B31" t="str">
            <v>cover crops seed</v>
          </cell>
          <cell r="C31" t="str">
            <v>$/ac</v>
          </cell>
        </row>
        <row r="32">
          <cell r="B32" t="str">
            <v>cover crops planting</v>
          </cell>
          <cell r="C32" t="str">
            <v>$/ac</v>
          </cell>
        </row>
        <row r="33">
          <cell r="B33" t="str">
            <v>cover crops termination</v>
          </cell>
          <cell r="C33" t="str">
            <v>$/ac</v>
          </cell>
        </row>
        <row r="35">
          <cell r="B35" t="str">
            <v>drainage repair or improvement</v>
          </cell>
          <cell r="C35" t="str">
            <v>$/ac</v>
          </cell>
        </row>
        <row r="36">
          <cell r="B36" t="str">
            <v>irrigation cost</v>
          </cell>
          <cell r="C36" t="str">
            <v>$/ac</v>
          </cell>
        </row>
        <row r="38">
          <cell r="B38" t="str">
            <v>tillage</v>
          </cell>
          <cell r="C38" t="str">
            <v>$/ac</v>
          </cell>
          <cell r="D38">
            <v>25</v>
          </cell>
          <cell r="E38">
            <v>0</v>
          </cell>
          <cell r="F38">
            <v>25</v>
          </cell>
        </row>
        <row r="40">
          <cell r="B40" t="str">
            <v>spraying/spreading</v>
          </cell>
          <cell r="C40" t="str">
            <v>$/ac</v>
          </cell>
          <cell r="D40">
            <v>20</v>
          </cell>
          <cell r="E40">
            <v>20</v>
          </cell>
          <cell r="F40">
            <v>20</v>
          </cell>
        </row>
        <row r="41">
          <cell r="B41" t="str">
            <v>harvest</v>
          </cell>
          <cell r="C41" t="str">
            <v>$/ac</v>
          </cell>
          <cell r="D41">
            <v>29</v>
          </cell>
          <cell r="E41">
            <v>29</v>
          </cell>
          <cell r="F41">
            <v>29</v>
          </cell>
        </row>
        <row r="42">
          <cell r="B42" t="str">
            <v>other machinery operations</v>
          </cell>
          <cell r="C42" t="str">
            <v>$/ac</v>
          </cell>
          <cell r="D42">
            <v>8</v>
          </cell>
          <cell r="E42">
            <v>8</v>
          </cell>
          <cell r="F42">
            <v>8</v>
          </cell>
        </row>
        <row r="44">
          <cell r="B44" t="str">
            <v>drying cost</v>
          </cell>
          <cell r="C44" t="str">
            <v>$/bu</v>
          </cell>
          <cell r="D44">
            <v>0.05</v>
          </cell>
          <cell r="E44">
            <v>0.04</v>
          </cell>
          <cell r="F44">
            <v>0.02</v>
          </cell>
        </row>
        <row r="45">
          <cell r="B45" t="str">
            <v>storage cost</v>
          </cell>
          <cell r="C45" t="str">
            <v>$/bu</v>
          </cell>
          <cell r="D45">
            <v>0.2</v>
          </cell>
          <cell r="E45">
            <v>0.11</v>
          </cell>
          <cell r="F45">
            <v>0.1</v>
          </cell>
        </row>
        <row r="46">
          <cell r="B46" t="str">
            <v>transport cost</v>
          </cell>
          <cell r="C46" t="str">
            <v>$/bu</v>
          </cell>
          <cell r="D46">
            <v>0.12</v>
          </cell>
          <cell r="E46">
            <v>0.2</v>
          </cell>
          <cell r="F46">
            <v>0.2</v>
          </cell>
        </row>
        <row r="49">
          <cell r="B49" t="str">
            <v>area</v>
          </cell>
          <cell r="C49" t="str">
            <v>ac</v>
          </cell>
          <cell r="D49">
            <v>244</v>
          </cell>
          <cell r="E49">
            <v>40</v>
          </cell>
          <cell r="F49">
            <v>5</v>
          </cell>
        </row>
        <row r="51">
          <cell r="B51" t="str">
            <v>seed cost</v>
          </cell>
          <cell r="C51" t="str">
            <v>$/ac</v>
          </cell>
          <cell r="D51">
            <v>119.00000000000001</v>
          </cell>
          <cell r="E51">
            <v>90</v>
          </cell>
          <cell r="F51">
            <v>112</v>
          </cell>
          <cell r="G51" t="str">
            <v>=VLOOKUP(WS,seeds,4,FALSE)</v>
          </cell>
        </row>
        <row r="52">
          <cell r="B52" t="str">
            <v>fertilizer cost</v>
          </cell>
          <cell r="C52" t="str">
            <v>$/ac</v>
          </cell>
          <cell r="D52">
            <v>91.179999999999993</v>
          </cell>
          <cell r="E52">
            <v>90.6</v>
          </cell>
          <cell r="F52">
            <v>93.05</v>
          </cell>
          <cell r="G52" t="str">
            <v>=VLOOKUP(WF_1,ferts,4,FALSE)+VLOOKUP(WF_2,ferts,4,FALSE)+VLOOKUP(WF_3,ferts,4,FALSE)+VLOOKUP(WF_4,ferts,4,FALSE)</v>
          </cell>
        </row>
        <row r="53">
          <cell r="B53" t="str">
            <v>herbicide cost</v>
          </cell>
          <cell r="C53" t="str">
            <v>$/ac</v>
          </cell>
          <cell r="D53">
            <v>20</v>
          </cell>
          <cell r="E53">
            <v>20</v>
          </cell>
          <cell r="F53">
            <v>20</v>
          </cell>
          <cell r="G53" t="str">
            <v>=VLOOKUP(WHC_1,hcides,4,FALSE)+VLOOKUP(WHC_2,hcides,4,FALSE)+VLOOKUP(WHC_3,hcides,4,FALSE)</v>
          </cell>
        </row>
        <row r="54">
          <cell r="B54" t="str">
            <v>insecticide cost</v>
          </cell>
          <cell r="C54" t="str">
            <v>$/ac</v>
          </cell>
          <cell r="D54">
            <v>15</v>
          </cell>
          <cell r="E54">
            <v>15</v>
          </cell>
          <cell r="F54">
            <v>5</v>
          </cell>
          <cell r="G54" t="str">
            <v>=VLOOKUP(WIC_1,icides,4,FALSE) + VLOOKUP(WIC_2,icides,4,FALSE)</v>
          </cell>
        </row>
        <row r="55">
          <cell r="B55" t="str">
            <v>fungicide cost</v>
          </cell>
          <cell r="C55" t="str">
            <v>$/ac</v>
          </cell>
          <cell r="D55">
            <v>14.375</v>
          </cell>
          <cell r="E55">
            <v>14.375</v>
          </cell>
          <cell r="F55">
            <v>14.375</v>
          </cell>
          <cell r="G55" t="str">
            <v>=VLOOKUP(WFC_1,fcides,4,FALSE) + VLOOKUP(WFC_2,fcides,4,FALSE)</v>
          </cell>
        </row>
        <row r="56">
          <cell r="B56" t="str">
            <v>cover crops cost</v>
          </cell>
          <cell r="C56" t="str">
            <v>$/ac</v>
          </cell>
          <cell r="D56">
            <v>0</v>
          </cell>
          <cell r="E56">
            <v>0</v>
          </cell>
          <cell r="F56">
            <v>0</v>
          </cell>
          <cell r="G56" t="str">
            <v>=CCS+CCP+CCT</v>
          </cell>
        </row>
        <row r="57">
          <cell r="B57" t="str">
            <v>water mgmt cost</v>
          </cell>
          <cell r="C57" t="str">
            <v>$/ac</v>
          </cell>
          <cell r="D57">
            <v>0</v>
          </cell>
          <cell r="E57">
            <v>0</v>
          </cell>
          <cell r="F57">
            <v>0</v>
          </cell>
          <cell r="G57" t="str">
            <v>=DRI+IR</v>
          </cell>
        </row>
        <row r="58">
          <cell r="B58" t="str">
            <v>machinery costs</v>
          </cell>
          <cell r="C58" t="str">
            <v>$/ac</v>
          </cell>
          <cell r="D58">
            <v>104</v>
          </cell>
          <cell r="E58">
            <v>79</v>
          </cell>
          <cell r="F58">
            <v>104</v>
          </cell>
          <cell r="G58" t="str">
            <v>=T+P+SS+H+OM</v>
          </cell>
        </row>
        <row r="59">
          <cell r="B59" t="str">
            <v>post harvest cost per bu</v>
          </cell>
          <cell r="C59" t="str">
            <v>$/bu</v>
          </cell>
          <cell r="D59">
            <v>0.37</v>
          </cell>
          <cell r="E59">
            <v>0.35</v>
          </cell>
          <cell r="F59">
            <v>0.32</v>
          </cell>
          <cell r="G59" t="str">
            <v>=DC+SC+TC</v>
          </cell>
        </row>
        <row r="62">
          <cell r="B62" t="str">
            <v>total income</v>
          </cell>
          <cell r="C62" t="str">
            <v>$/ac</v>
          </cell>
          <cell r="D62">
            <v>601.4</v>
          </cell>
          <cell r="E62">
            <v>591.41</v>
          </cell>
          <cell r="F62">
            <v>601.4</v>
          </cell>
          <cell r="G62" t="str">
            <v>=SP*Y+OI_1+OI_2</v>
          </cell>
        </row>
        <row r="63">
          <cell r="B63" t="str">
            <v>subtotal of cost</v>
          </cell>
          <cell r="C63" t="str">
            <v>$/ac</v>
          </cell>
          <cell r="D63">
            <v>620.61500000000012</v>
          </cell>
          <cell r="E63">
            <v>531.38499999999999</v>
          </cell>
          <cell r="F63">
            <v>566.48500000000001</v>
          </cell>
          <cell r="G63" t="str">
            <v>=(LC+CI+S+OMI+SEC+FTC+HC+IC+FNC+CCC+WMC+MC)+PHC*Y</v>
          </cell>
        </row>
        <row r="66">
          <cell r="B66" t="str">
            <v>return per acre</v>
          </cell>
          <cell r="C66" t="str">
            <v>$/ac</v>
          </cell>
          <cell r="D66">
            <v>-19.215000000000146</v>
          </cell>
          <cell r="E66">
            <v>60.024999999999977</v>
          </cell>
          <cell r="F66">
            <v>34.914999999999964</v>
          </cell>
          <cell r="G66" t="str">
            <v>=TI-STOC</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Orientation"/>
      <sheetName val="Round Bin Inventory"/>
      <sheetName val="Flat Storage Inventory"/>
      <sheetName val="support_data"/>
      <sheetName val="Sheet2"/>
    </sheetNames>
    <sheetDataSet>
      <sheetData sheetId="0"/>
      <sheetData sheetId="1">
        <row r="2">
          <cell r="B2" t="str">
            <v>crop type</v>
          </cell>
          <cell r="C2" t="str">
            <v>Corn</v>
          </cell>
          <cell r="D2" t="str">
            <v xml:space="preserve"> --</v>
          </cell>
        </row>
        <row r="3">
          <cell r="B3" t="str">
            <v>bin diameter</v>
          </cell>
          <cell r="C3">
            <v>30</v>
          </cell>
          <cell r="D3" t="str">
            <v>ft</v>
          </cell>
          <cell r="E3" t="b">
            <v>0</v>
          </cell>
        </row>
        <row r="4">
          <cell r="B4" t="str">
            <v>perimeter height of grain</v>
          </cell>
          <cell r="C4">
            <v>30</v>
          </cell>
          <cell r="D4" t="str">
            <v>ft</v>
          </cell>
        </row>
        <row r="5">
          <cell r="B5" t="str">
            <v>top status</v>
          </cell>
          <cell r="C5" t="str">
            <v>hollow-cone from emptying</v>
          </cell>
          <cell r="D5" t="str">
            <v xml:space="preserve"> --</v>
          </cell>
        </row>
        <row r="8">
          <cell r="B8" t="str">
            <v>cone option</v>
          </cell>
          <cell r="C8">
            <v>2</v>
          </cell>
          <cell r="D8" t="str">
            <v xml:space="preserve"> --</v>
          </cell>
          <cell r="E8" t="str">
            <v>=VLOOKUP(ts,cone_options,2,FALSE)</v>
          </cell>
        </row>
        <row r="9">
          <cell r="B9" t="str">
            <v>angle of repose</v>
          </cell>
          <cell r="C9">
            <v>30</v>
          </cell>
          <cell r="D9" t="str">
            <v>degrees</v>
          </cell>
          <cell r="E9" t="str">
            <v>=VLOOKUP(ct,angles,co+1)</v>
          </cell>
        </row>
        <row r="10">
          <cell r="B10" t="str">
            <v>cylinder volume</v>
          </cell>
          <cell r="C10">
            <v>17040.941030867114</v>
          </cell>
          <cell r="D10" t="str">
            <v>bu</v>
          </cell>
          <cell r="E10" t="str">
            <v>=PI()*(D/2)^2*PH*0.8036</v>
          </cell>
        </row>
        <row r="11">
          <cell r="B11" t="str">
            <v>cone height</v>
          </cell>
          <cell r="C11">
            <v>8.6602540378443855</v>
          </cell>
          <cell r="D11" t="str">
            <v>ft</v>
          </cell>
          <cell r="E11" t="str">
            <v>=TAN(RADIANS(ar))*D/2</v>
          </cell>
        </row>
        <row r="12">
          <cell r="B12" t="str">
            <v>cone volume adjustment</v>
          </cell>
          <cell r="C12">
            <v>-2040.5242847634947</v>
          </cell>
          <cell r="D12" t="str">
            <v>bu</v>
          </cell>
          <cell r="E12" t="str">
            <v>=PI()*(D/2)^2*CH/3*IF(co'=2,-1,1)</v>
          </cell>
        </row>
      </sheetData>
      <sheetData sheetId="2">
        <row r="2">
          <cell r="B2" t="str">
            <v>crop type</v>
          </cell>
          <cell r="C2" t="str">
            <v>Corn</v>
          </cell>
        </row>
        <row r="3">
          <cell r="B3" t="str">
            <v>length of rectangular prism (big box)</v>
          </cell>
          <cell r="C3">
            <v>60</v>
          </cell>
          <cell r="D3" t="str">
            <v>ft</v>
          </cell>
          <cell r="E3" t="b">
            <v>0</v>
          </cell>
        </row>
        <row r="4">
          <cell r="B4" t="str">
            <v>width of rectangular prism (big box)</v>
          </cell>
          <cell r="C4">
            <v>40</v>
          </cell>
          <cell r="D4" t="str">
            <v>ft</v>
          </cell>
        </row>
        <row r="5">
          <cell r="B5" t="str">
            <v>height of rectangular prism (big box)</v>
          </cell>
          <cell r="C5">
            <v>15</v>
          </cell>
          <cell r="D5" t="str">
            <v>ft</v>
          </cell>
        </row>
        <row r="6">
          <cell r="B6" t="str">
            <v>number of triangular prisms (wedges)</v>
          </cell>
          <cell r="C6" t="str">
            <v>one end from filling, one end from emptying</v>
          </cell>
          <cell r="D6" t="str">
            <v xml:space="preserve"> --</v>
          </cell>
          <cell r="G6" t="str">
            <v>Triangular prism or "wedge" - potential end shapes</v>
          </cell>
        </row>
        <row r="7">
          <cell r="B7" t="str">
            <v>cones on top from filling</v>
          </cell>
          <cell r="C7">
            <v>1</v>
          </cell>
          <cell r="D7" t="str">
            <v xml:space="preserve"> --</v>
          </cell>
        </row>
        <row r="10">
          <cell r="B10" t="str">
            <v>rectangular prism volume</v>
          </cell>
          <cell r="C10">
            <v>28929.599999999999</v>
          </cell>
          <cell r="D10" t="str">
            <v>bu</v>
          </cell>
          <cell r="E10" t="str">
            <v>=L*W*H*0.8036</v>
          </cell>
        </row>
        <row r="11">
          <cell r="B11" t="str">
            <v>angle of repose filling</v>
          </cell>
          <cell r="C11">
            <v>23</v>
          </cell>
          <cell r="D11" t="str">
            <v>degrees</v>
          </cell>
          <cell r="E11" t="str">
            <v>=VLOOKUP(ctf,angles,2)</v>
          </cell>
          <cell r="G11" t="str">
            <v>Cones - potential top shapes from filling</v>
          </cell>
        </row>
        <row r="12">
          <cell r="B12" t="str">
            <v>angle of repose emptying</v>
          </cell>
          <cell r="C12">
            <v>30</v>
          </cell>
          <cell r="D12" t="str">
            <v>degrees</v>
          </cell>
          <cell r="E12" t="str">
            <v>=VLOOKUP(ctf,angles,3)</v>
          </cell>
        </row>
        <row r="13">
          <cell r="B13" t="str">
            <v>wedge adjustment filling</v>
          </cell>
          <cell r="C13">
            <v>8519.2333252918543</v>
          </cell>
          <cell r="D13" t="str">
            <v>bu</v>
          </cell>
          <cell r="E13" t="str">
            <v>=1/2*W*H*(H/TAN(RADIANS(arf)))*VLOOKUP(nw,wedge_adj,3,FALSE)*0.8036</v>
          </cell>
        </row>
        <row r="14">
          <cell r="B14" t="str">
            <v>wedge adjustment emptying</v>
          </cell>
          <cell r="C14">
            <v>6263.4421303305735</v>
          </cell>
          <cell r="D14" t="str">
            <v>bu</v>
          </cell>
          <cell r="E14" t="str">
            <v>=1/2*W*H*(H/TAN(RADIANS(are)))*VLOOKUP(nw,wedge_adj,4,FALSE)*0.8036</v>
          </cell>
        </row>
        <row r="15">
          <cell r="B15" t="str">
            <v>cone volume, each</v>
          </cell>
          <cell r="C15">
            <v>3556.0719046345921</v>
          </cell>
          <cell r="D15" t="str">
            <v>bu</v>
          </cell>
          <cell r="E15" t="str">
            <v>=PI()*(W/2)^2*(TAN(RADIANS(arf))*W/2/3)</v>
          </cell>
          <cell r="G15" t="str">
            <v>A possiblity … a wedge on the end and a cone above</v>
          </cell>
        </row>
      </sheetData>
      <sheetData sheetId="3">
        <row r="4">
          <cell r="A4" t="str">
            <v>cone-shaped peak from filling</v>
          </cell>
          <cell r="B4">
            <v>1</v>
          </cell>
        </row>
        <row r="5">
          <cell r="A5" t="str">
            <v>hollow-cone from emptying</v>
          </cell>
          <cell r="B5">
            <v>2</v>
          </cell>
        </row>
        <row r="6">
          <cell r="A6" t="str">
            <v>level</v>
          </cell>
          <cell r="B6">
            <v>3</v>
          </cell>
        </row>
        <row r="11">
          <cell r="A11" t="str">
            <v>Barley</v>
          </cell>
          <cell r="B11">
            <v>24</v>
          </cell>
          <cell r="C11">
            <v>26</v>
          </cell>
          <cell r="D11">
            <v>0</v>
          </cell>
        </row>
        <row r="12">
          <cell r="A12" t="str">
            <v>Corn</v>
          </cell>
          <cell r="B12">
            <v>23</v>
          </cell>
          <cell r="C12">
            <v>30</v>
          </cell>
          <cell r="D12">
            <v>0</v>
          </cell>
        </row>
        <row r="13">
          <cell r="A13" t="str">
            <v>Milo</v>
          </cell>
          <cell r="B13">
            <v>29</v>
          </cell>
          <cell r="C13">
            <v>30</v>
          </cell>
          <cell r="D13">
            <v>0</v>
          </cell>
        </row>
        <row r="14">
          <cell r="A14" t="str">
            <v>Oats</v>
          </cell>
          <cell r="B14">
            <v>27</v>
          </cell>
          <cell r="C14">
            <v>27</v>
          </cell>
          <cell r="D14">
            <v>0</v>
          </cell>
        </row>
        <row r="15">
          <cell r="A15" t="str">
            <v>Soybeans</v>
          </cell>
          <cell r="B15">
            <v>25</v>
          </cell>
          <cell r="C15">
            <v>29</v>
          </cell>
          <cell r="D15">
            <v>0</v>
          </cell>
        </row>
        <row r="16">
          <cell r="A16" t="str">
            <v>Wheat</v>
          </cell>
          <cell r="B16">
            <v>24</v>
          </cell>
          <cell r="C16">
            <v>24</v>
          </cell>
          <cell r="D16">
            <v>0</v>
          </cell>
        </row>
        <row r="17">
          <cell r="A17" t="str">
            <v>Sunflower</v>
          </cell>
          <cell r="B17">
            <v>21</v>
          </cell>
          <cell r="C17">
            <v>22</v>
          </cell>
          <cell r="D17">
            <v>0</v>
          </cell>
        </row>
        <row r="21">
          <cell r="A21" t="str">
            <v>no wedges</v>
          </cell>
          <cell r="B21">
            <v>1</v>
          </cell>
          <cell r="C21">
            <v>0</v>
          </cell>
          <cell r="D21">
            <v>0</v>
          </cell>
        </row>
        <row r="22">
          <cell r="A22" t="str">
            <v>one end from filling</v>
          </cell>
          <cell r="B22">
            <v>2</v>
          </cell>
          <cell r="C22">
            <v>1</v>
          </cell>
          <cell r="D22">
            <v>0</v>
          </cell>
        </row>
        <row r="23">
          <cell r="A23" t="str">
            <v>two ends from filling</v>
          </cell>
          <cell r="B23">
            <v>3</v>
          </cell>
          <cell r="C23">
            <v>2</v>
          </cell>
          <cell r="D23">
            <v>0</v>
          </cell>
        </row>
        <row r="24">
          <cell r="A24" t="str">
            <v>one end from emptying</v>
          </cell>
          <cell r="B24">
            <v>4</v>
          </cell>
          <cell r="C24">
            <v>0</v>
          </cell>
          <cell r="D24">
            <v>1</v>
          </cell>
        </row>
        <row r="25">
          <cell r="A25" t="str">
            <v>one end from filling, one end from emptying</v>
          </cell>
          <cell r="B25">
            <v>5</v>
          </cell>
          <cell r="C25">
            <v>1</v>
          </cell>
          <cell r="D25">
            <v>1</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ngineering.purdue.edu/~dbuckmas/outreach/Fertlizer_tools_tutorial.mp4" TargetMode="External"/><Relationship Id="rId2" Type="http://schemas.openxmlformats.org/officeDocument/2006/relationships/hyperlink" Target="https://ag.purdue.edu/digital-ag-resources/purdue-crop-planning-tool/" TargetMode="External"/><Relationship Id="rId1" Type="http://schemas.openxmlformats.org/officeDocument/2006/relationships/hyperlink" Target="https://engineering.purdue.edu/~dbuckmas/outreach/Fertilizer_tools.xlsx" TargetMode="External"/><Relationship Id="rId5" Type="http://schemas.openxmlformats.org/officeDocument/2006/relationships/drawing" Target="../drawings/drawing1.xml"/><Relationship Id="rId4" Type="http://schemas.openxmlformats.org/officeDocument/2006/relationships/hyperlink" Target="https://ag.purdue.edu/digital-ag-resources/contxt-application/"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engineering.purdue.edu/~dbuckmas/outreach/Fertlizer_tools_tutorial.mp4"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F45F9-F37D-4B50-86EB-81D393256ADB}">
  <dimension ref="A1:P39"/>
  <sheetViews>
    <sheetView zoomScale="160" zoomScaleNormal="160" workbookViewId="0">
      <selection activeCell="C40" sqref="C40"/>
    </sheetView>
  </sheetViews>
  <sheetFormatPr defaultRowHeight="15" x14ac:dyDescent="0.25"/>
  <cols>
    <col min="1" max="1" width="14.140625" customWidth="1"/>
    <col min="2" max="2" width="10.85546875" bestFit="1" customWidth="1"/>
  </cols>
  <sheetData>
    <row r="1" spans="1:16" x14ac:dyDescent="0.25">
      <c r="A1" s="84"/>
      <c r="B1" s="84"/>
      <c r="C1" s="84"/>
    </row>
    <row r="2" spans="1:16" x14ac:dyDescent="0.25">
      <c r="A2" s="84"/>
      <c r="B2" s="84"/>
      <c r="C2" s="84"/>
    </row>
    <row r="3" spans="1:16" ht="15" customHeight="1" x14ac:dyDescent="0.25">
      <c r="A3" s="99" t="s">
        <v>242</v>
      </c>
      <c r="B3" s="99"/>
      <c r="C3" s="99"/>
      <c r="D3" s="99"/>
      <c r="E3" s="99"/>
      <c r="F3" s="99"/>
      <c r="G3" s="85"/>
      <c r="H3" s="85"/>
      <c r="I3" s="85"/>
      <c r="J3" s="85"/>
      <c r="K3" s="85"/>
    </row>
    <row r="4" spans="1:16" ht="15" customHeight="1" x14ac:dyDescent="0.25">
      <c r="A4" s="99"/>
      <c r="B4" s="99"/>
      <c r="C4" s="99"/>
      <c r="D4" s="99"/>
      <c r="E4" s="99"/>
      <c r="F4" s="99"/>
      <c r="G4" s="85"/>
      <c r="H4" s="85"/>
      <c r="I4" s="86"/>
      <c r="J4" s="86"/>
      <c r="K4" s="86"/>
      <c r="L4" s="87"/>
      <c r="M4" s="87"/>
      <c r="N4" s="87"/>
      <c r="O4" s="87"/>
      <c r="P4" s="87"/>
    </row>
    <row r="5" spans="1:16" x14ac:dyDescent="0.25">
      <c r="A5" s="88" t="s">
        <v>252</v>
      </c>
      <c r="B5" s="89"/>
      <c r="C5" s="85"/>
      <c r="D5" s="85"/>
      <c r="E5" s="85"/>
      <c r="F5" s="85"/>
      <c r="G5" s="88" t="s">
        <v>253</v>
      </c>
      <c r="H5" s="85"/>
      <c r="I5" s="86"/>
      <c r="J5" s="86"/>
      <c r="K5" s="86"/>
      <c r="L5" s="87"/>
      <c r="M5" s="87"/>
      <c r="N5" s="87"/>
      <c r="O5" s="87"/>
      <c r="P5" s="87"/>
    </row>
    <row r="6" spans="1:16" x14ac:dyDescent="0.25">
      <c r="A6" s="90"/>
      <c r="B6" s="91"/>
      <c r="C6" s="85"/>
      <c r="D6" s="85"/>
      <c r="E6" s="85"/>
      <c r="F6" s="85"/>
      <c r="G6" s="85"/>
      <c r="H6" s="85"/>
      <c r="I6" s="86"/>
      <c r="J6" s="86"/>
      <c r="K6" s="86"/>
      <c r="L6" s="87"/>
      <c r="M6" s="87"/>
      <c r="N6" s="87"/>
      <c r="O6" s="87"/>
      <c r="P6" s="87"/>
    </row>
    <row r="7" spans="1:16" x14ac:dyDescent="0.25">
      <c r="A7" s="85"/>
      <c r="B7" s="85"/>
      <c r="C7" s="85"/>
      <c r="D7" s="85"/>
      <c r="E7" s="85"/>
      <c r="F7" s="85"/>
      <c r="G7" s="85"/>
      <c r="H7" s="85"/>
      <c r="I7" s="86"/>
      <c r="J7" s="86"/>
      <c r="K7" s="86"/>
      <c r="L7" s="87"/>
      <c r="M7" s="87"/>
      <c r="N7" s="87"/>
      <c r="O7" s="87"/>
      <c r="P7" s="87"/>
    </row>
    <row r="8" spans="1:16" x14ac:dyDescent="0.25">
      <c r="A8" s="88"/>
      <c r="B8" s="85"/>
      <c r="C8" s="85"/>
      <c r="D8" s="85"/>
      <c r="E8" s="85"/>
      <c r="F8" s="85"/>
      <c r="G8" s="85"/>
      <c r="H8" s="85"/>
      <c r="I8" s="86"/>
      <c r="J8" s="86"/>
      <c r="K8" s="86"/>
      <c r="L8" s="87"/>
      <c r="M8" s="87"/>
      <c r="N8" s="87"/>
      <c r="O8" s="87"/>
      <c r="P8" s="87"/>
    </row>
    <row r="9" spans="1:16" x14ac:dyDescent="0.25">
      <c r="A9" s="85"/>
      <c r="B9" s="85"/>
      <c r="C9" s="85"/>
      <c r="D9" s="85"/>
      <c r="E9" s="85"/>
      <c r="F9" s="85"/>
      <c r="G9" s="85"/>
      <c r="H9" s="85"/>
      <c r="I9" s="86"/>
      <c r="J9" s="86"/>
      <c r="K9" s="86"/>
      <c r="L9" s="87"/>
      <c r="M9" s="87"/>
      <c r="N9" s="87"/>
      <c r="O9" s="87"/>
      <c r="P9" s="87"/>
    </row>
    <row r="10" spans="1:16" x14ac:dyDescent="0.25">
      <c r="A10" s="85"/>
      <c r="B10" s="85"/>
      <c r="C10" s="85"/>
      <c r="D10" s="85"/>
      <c r="E10" s="85"/>
      <c r="F10" s="85"/>
      <c r="G10" s="85"/>
      <c r="H10" s="85"/>
      <c r="I10" s="86"/>
      <c r="J10" s="86"/>
      <c r="K10" s="86"/>
      <c r="L10" s="87"/>
      <c r="M10" s="87"/>
      <c r="N10" s="87"/>
      <c r="O10" s="87"/>
      <c r="P10" s="87"/>
    </row>
    <row r="11" spans="1:16" x14ac:dyDescent="0.25">
      <c r="A11" s="85"/>
      <c r="B11" s="85"/>
      <c r="C11" s="85"/>
      <c r="D11" s="85"/>
      <c r="E11" s="85"/>
      <c r="F11" s="85"/>
      <c r="G11" s="85"/>
      <c r="H11" s="85"/>
      <c r="I11" s="86"/>
      <c r="J11" s="86"/>
      <c r="K11" s="86"/>
      <c r="L11" s="87"/>
      <c r="M11" s="87"/>
      <c r="N11" s="87"/>
      <c r="O11" s="87"/>
      <c r="P11" s="87"/>
    </row>
    <row r="12" spans="1:16" x14ac:dyDescent="0.25">
      <c r="A12" s="85"/>
      <c r="B12" s="85"/>
      <c r="C12" s="85"/>
      <c r="D12" s="85"/>
      <c r="E12" s="85"/>
      <c r="F12" s="85"/>
      <c r="G12" s="85"/>
      <c r="H12" s="85"/>
      <c r="I12" s="86"/>
      <c r="J12" s="86"/>
      <c r="K12" s="86"/>
      <c r="L12" s="87"/>
      <c r="M12" s="87"/>
      <c r="N12" s="87"/>
      <c r="O12" s="87"/>
      <c r="P12" s="87"/>
    </row>
    <row r="13" spans="1:16" x14ac:dyDescent="0.25">
      <c r="A13" s="85"/>
      <c r="B13" s="85"/>
      <c r="C13" s="85"/>
      <c r="D13" s="85"/>
      <c r="E13" s="85"/>
      <c r="F13" s="85"/>
      <c r="G13" s="85"/>
      <c r="H13" s="85"/>
      <c r="I13" s="86"/>
      <c r="J13" s="86"/>
      <c r="K13" s="86"/>
      <c r="L13" s="87"/>
      <c r="M13" s="87"/>
      <c r="N13" s="87"/>
      <c r="O13" s="87"/>
      <c r="P13" s="87"/>
    </row>
    <row r="14" spans="1:16" x14ac:dyDescent="0.25">
      <c r="A14" s="85"/>
      <c r="B14" s="85"/>
      <c r="C14" s="85"/>
      <c r="D14" s="85"/>
      <c r="E14" s="85"/>
      <c r="F14" s="85"/>
      <c r="G14" s="85"/>
      <c r="H14" s="85"/>
      <c r="I14" s="86"/>
      <c r="J14" s="86"/>
      <c r="K14" s="86"/>
      <c r="L14" s="87"/>
      <c r="M14" s="87"/>
      <c r="N14" s="87"/>
      <c r="O14" s="87"/>
      <c r="P14" s="87"/>
    </row>
    <row r="15" spans="1:16" x14ac:dyDescent="0.25">
      <c r="A15" s="85"/>
      <c r="B15" s="85"/>
      <c r="C15" s="85"/>
      <c r="D15" s="85"/>
      <c r="E15" s="85"/>
      <c r="F15" s="85"/>
      <c r="G15" s="85"/>
      <c r="H15" s="85"/>
      <c r="I15" s="85"/>
      <c r="J15" s="85"/>
      <c r="K15" s="85"/>
    </row>
    <row r="16" spans="1:16" x14ac:dyDescent="0.25">
      <c r="A16" s="85"/>
      <c r="B16" s="85"/>
      <c r="C16" s="85"/>
      <c r="D16" s="85"/>
      <c r="E16" s="85"/>
      <c r="F16" s="85"/>
      <c r="G16" s="85"/>
      <c r="H16" s="85"/>
      <c r="I16" s="85"/>
      <c r="J16" s="85"/>
      <c r="K16" s="85"/>
    </row>
    <row r="17" spans="1:11" x14ac:dyDescent="0.25">
      <c r="A17" s="85"/>
      <c r="B17" s="85"/>
      <c r="C17" s="85"/>
      <c r="D17" s="85"/>
      <c r="E17" s="85"/>
      <c r="F17" s="85"/>
      <c r="G17" s="85"/>
      <c r="H17" s="85"/>
      <c r="I17" s="85"/>
      <c r="J17" s="85"/>
      <c r="K17" s="85"/>
    </row>
    <row r="18" spans="1:11" x14ac:dyDescent="0.25">
      <c r="A18" s="85"/>
      <c r="B18" s="85"/>
      <c r="C18" s="85"/>
      <c r="D18" s="85"/>
      <c r="E18" s="85"/>
      <c r="F18" s="85"/>
      <c r="G18" s="85"/>
      <c r="H18" s="85"/>
      <c r="I18" s="85"/>
      <c r="J18" s="85"/>
      <c r="K18" s="85"/>
    </row>
    <row r="19" spans="1:11" x14ac:dyDescent="0.25">
      <c r="A19" s="85"/>
      <c r="B19" s="85"/>
      <c r="C19" s="85"/>
      <c r="D19" s="85"/>
      <c r="E19" s="85"/>
      <c r="F19" s="85"/>
      <c r="G19" s="85"/>
      <c r="H19" s="85"/>
      <c r="I19" s="85"/>
      <c r="J19" s="85"/>
      <c r="K19" s="85"/>
    </row>
    <row r="20" spans="1:11" x14ac:dyDescent="0.25">
      <c r="A20" s="85"/>
      <c r="B20" s="85"/>
      <c r="C20" s="85"/>
      <c r="D20" s="85"/>
      <c r="E20" s="85"/>
      <c r="F20" s="85"/>
      <c r="G20" s="85"/>
      <c r="H20" s="85"/>
      <c r="I20" s="85"/>
      <c r="J20" s="85"/>
      <c r="K20" s="85"/>
    </row>
    <row r="21" spans="1:11" x14ac:dyDescent="0.25">
      <c r="A21" s="85"/>
      <c r="B21" s="85"/>
      <c r="C21" s="85"/>
      <c r="D21" s="85"/>
      <c r="E21" s="85"/>
      <c r="F21" s="85"/>
      <c r="G21" s="85"/>
      <c r="H21" s="85"/>
      <c r="I21" s="85"/>
      <c r="J21" s="85"/>
      <c r="K21" s="85"/>
    </row>
    <row r="22" spans="1:11" x14ac:dyDescent="0.25">
      <c r="A22" s="85"/>
      <c r="B22" s="85"/>
      <c r="C22" s="85"/>
      <c r="D22" s="85"/>
      <c r="E22" s="85"/>
      <c r="F22" s="85"/>
      <c r="G22" s="85"/>
      <c r="H22" s="85"/>
      <c r="I22" s="85"/>
      <c r="J22" s="85"/>
      <c r="K22" s="85"/>
    </row>
    <row r="23" spans="1:11" x14ac:dyDescent="0.25">
      <c r="A23" s="85"/>
      <c r="B23" s="85"/>
      <c r="C23" s="85"/>
      <c r="D23" s="85"/>
      <c r="E23" s="85"/>
      <c r="F23" s="85"/>
      <c r="G23" s="85"/>
      <c r="H23" s="85"/>
      <c r="I23" s="85"/>
      <c r="J23" s="85"/>
      <c r="K23" s="85"/>
    </row>
    <row r="24" spans="1:11" x14ac:dyDescent="0.25">
      <c r="A24" s="85"/>
      <c r="B24" s="85"/>
      <c r="C24" s="85"/>
      <c r="D24" s="85"/>
      <c r="E24" s="85"/>
      <c r="F24" s="85"/>
      <c r="G24" s="85"/>
      <c r="H24" s="85"/>
      <c r="I24" s="85"/>
      <c r="J24" s="85"/>
      <c r="K24" s="85"/>
    </row>
    <row r="25" spans="1:11" x14ac:dyDescent="0.25">
      <c r="A25" s="85"/>
      <c r="B25" s="85"/>
      <c r="C25" s="85"/>
      <c r="D25" s="85"/>
      <c r="E25" s="85"/>
      <c r="F25" s="85"/>
      <c r="G25" s="85"/>
      <c r="H25" s="85"/>
      <c r="I25" s="85"/>
      <c r="J25" s="85"/>
      <c r="K25" s="85"/>
    </row>
    <row r="26" spans="1:11" x14ac:dyDescent="0.25">
      <c r="A26" s="85"/>
      <c r="B26" s="85"/>
      <c r="C26" s="85"/>
      <c r="D26" s="85"/>
      <c r="E26" s="85"/>
      <c r="F26" s="85"/>
      <c r="G26" s="85"/>
      <c r="H26" s="85"/>
      <c r="I26" s="85"/>
      <c r="J26" s="85"/>
      <c r="K26" s="85"/>
    </row>
    <row r="27" spans="1:11" x14ac:dyDescent="0.25">
      <c r="A27" s="85"/>
      <c r="B27" s="85"/>
      <c r="C27" s="85"/>
      <c r="D27" s="85"/>
      <c r="E27" s="85"/>
      <c r="F27" s="85"/>
      <c r="G27" s="85"/>
      <c r="H27" s="85"/>
      <c r="I27" s="85"/>
      <c r="J27" s="85"/>
      <c r="K27" s="85"/>
    </row>
    <row r="28" spans="1:11" x14ac:dyDescent="0.25">
      <c r="A28" s="85"/>
      <c r="B28" s="85"/>
      <c r="C28" s="85"/>
      <c r="D28" s="85"/>
      <c r="E28" s="85"/>
      <c r="F28" s="85"/>
      <c r="G28" s="85"/>
      <c r="H28" s="85"/>
      <c r="I28" s="85"/>
      <c r="J28" s="85"/>
      <c r="K28" s="85"/>
    </row>
    <row r="29" spans="1:11" x14ac:dyDescent="0.25">
      <c r="A29" s="85"/>
      <c r="B29" s="85"/>
      <c r="C29" s="85"/>
      <c r="D29" s="85"/>
      <c r="E29" s="85"/>
      <c r="F29" s="85"/>
      <c r="G29" s="85"/>
      <c r="H29" s="85"/>
      <c r="I29" s="85"/>
      <c r="J29" s="85"/>
      <c r="K29" s="85"/>
    </row>
    <row r="30" spans="1:11" x14ac:dyDescent="0.25">
      <c r="A30" s="85"/>
      <c r="B30" s="85"/>
      <c r="C30" s="85"/>
      <c r="D30" s="85"/>
      <c r="E30" s="85"/>
      <c r="F30" s="85"/>
      <c r="G30" s="85"/>
      <c r="H30" s="85"/>
      <c r="I30" s="85"/>
      <c r="J30" s="85"/>
      <c r="K30" s="85"/>
    </row>
    <row r="31" spans="1:11" x14ac:dyDescent="0.25">
      <c r="A31" s="92" t="s">
        <v>250</v>
      </c>
      <c r="B31" t="s">
        <v>251</v>
      </c>
      <c r="C31" s="85"/>
      <c r="D31" s="85"/>
      <c r="E31" s="85"/>
      <c r="F31" s="85"/>
      <c r="G31" s="85"/>
      <c r="H31" s="85"/>
      <c r="I31" s="85"/>
      <c r="J31" s="85"/>
      <c r="K31" s="85"/>
    </row>
    <row r="32" spans="1:11" x14ac:dyDescent="0.25">
      <c r="A32" s="92" t="s">
        <v>238</v>
      </c>
      <c r="B32" t="s">
        <v>249</v>
      </c>
      <c r="C32" s="85"/>
      <c r="D32" s="85"/>
      <c r="E32" s="85"/>
      <c r="F32" s="85"/>
      <c r="G32" s="85"/>
      <c r="H32" s="85"/>
      <c r="I32" s="85"/>
      <c r="J32" s="85"/>
      <c r="K32" s="85"/>
    </row>
    <row r="33" spans="1:13" x14ac:dyDescent="0.25">
      <c r="A33" s="92" t="s">
        <v>239</v>
      </c>
      <c r="B33" s="95" t="s">
        <v>248</v>
      </c>
      <c r="C33" s="85"/>
      <c r="D33" s="85"/>
      <c r="E33" s="85"/>
      <c r="F33" s="85"/>
      <c r="G33" s="85"/>
      <c r="H33" s="85"/>
      <c r="I33" s="85"/>
      <c r="J33" s="85"/>
      <c r="K33" s="85"/>
    </row>
    <row r="34" spans="1:13" x14ac:dyDescent="0.25">
      <c r="A34" s="92" t="s">
        <v>240</v>
      </c>
      <c r="B34" s="96" t="s">
        <v>245</v>
      </c>
      <c r="C34" s="96"/>
      <c r="D34" s="96"/>
      <c r="E34" s="96"/>
      <c r="F34" s="96"/>
      <c r="G34" s="96"/>
      <c r="H34" s="96"/>
      <c r="I34" s="85"/>
      <c r="J34" s="85"/>
      <c r="K34" s="85"/>
    </row>
    <row r="35" spans="1:13" x14ac:dyDescent="0.25">
      <c r="A35" s="88" t="s">
        <v>246</v>
      </c>
      <c r="B35" s="94" t="s">
        <v>247</v>
      </c>
      <c r="C35" s="85"/>
      <c r="D35" s="85"/>
      <c r="E35" s="85"/>
      <c r="F35" s="85"/>
      <c r="G35" s="85"/>
      <c r="H35" s="85"/>
      <c r="I35" s="85"/>
      <c r="J35" s="85"/>
      <c r="K35" s="85"/>
    </row>
    <row r="36" spans="1:13" x14ac:dyDescent="0.25">
      <c r="A36" s="88" t="s">
        <v>241</v>
      </c>
      <c r="B36" s="85"/>
      <c r="C36" s="85"/>
      <c r="D36" s="85"/>
      <c r="E36" s="85"/>
      <c r="F36" s="85"/>
      <c r="G36" s="85"/>
      <c r="H36" s="85"/>
      <c r="I36" s="85"/>
      <c r="J36" s="85"/>
      <c r="K36" s="85"/>
    </row>
    <row r="37" spans="1:13" x14ac:dyDescent="0.25">
      <c r="B37" s="85" t="s">
        <v>243</v>
      </c>
      <c r="C37" s="93"/>
      <c r="D37" s="97" t="s">
        <v>244</v>
      </c>
      <c r="E37" s="98"/>
      <c r="F37" s="98"/>
      <c r="G37" s="98"/>
      <c r="H37" s="98"/>
      <c r="I37" s="98"/>
      <c r="J37" s="98"/>
      <c r="K37" s="98"/>
      <c r="L37" s="98"/>
      <c r="M37" s="98"/>
    </row>
    <row r="38" spans="1:13" x14ac:dyDescent="0.25">
      <c r="B38" s="85" t="s">
        <v>254</v>
      </c>
      <c r="C38" s="85"/>
      <c r="D38" s="94" t="s">
        <v>255</v>
      </c>
      <c r="E38" s="85"/>
      <c r="F38" s="85"/>
      <c r="G38" s="85"/>
      <c r="H38" s="85"/>
      <c r="I38" s="85"/>
      <c r="J38" s="85"/>
      <c r="K38" s="85"/>
    </row>
    <row r="39" spans="1:13" x14ac:dyDescent="0.25">
      <c r="A39" s="85"/>
      <c r="B39" s="85"/>
      <c r="C39" s="85"/>
      <c r="D39" s="85"/>
      <c r="E39" s="85"/>
      <c r="F39" s="85"/>
      <c r="G39" s="85"/>
      <c r="H39" s="85"/>
      <c r="I39" s="85"/>
      <c r="J39" s="85"/>
      <c r="K39" s="85"/>
    </row>
  </sheetData>
  <sheetProtection sheet="1" objects="1" scenarios="1"/>
  <mergeCells count="3">
    <mergeCell ref="B34:H34"/>
    <mergeCell ref="D37:M37"/>
    <mergeCell ref="A3:F4"/>
  </mergeCells>
  <hyperlinks>
    <hyperlink ref="B34" r:id="rId1" xr:uid="{3F606C06-325E-4A05-9B49-04953619790F}"/>
    <hyperlink ref="D37" r:id="rId2" xr:uid="{A44A7926-FC76-4195-B3D5-CEB3B866C1FB}"/>
    <hyperlink ref="B35" r:id="rId3" xr:uid="{2EF86225-6666-488A-BB0F-BED1C8AC2099}"/>
    <hyperlink ref="D38" r:id="rId4" xr:uid="{D29C3CDE-3DBD-4B3B-86D6-065EA421E126}"/>
  </hyperlinks>
  <pageMargins left="0.7" right="0.7" top="0.75" bottom="0.75" header="0.3" footer="0.3"/>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68823-4B92-465E-8413-5B3F07C061B9}">
  <sheetPr>
    <pageSetUpPr fitToPage="1"/>
  </sheetPr>
  <dimension ref="A1:E35"/>
  <sheetViews>
    <sheetView zoomScale="105" zoomScaleNormal="105" workbookViewId="0">
      <selection activeCell="H10" sqref="H10"/>
    </sheetView>
  </sheetViews>
  <sheetFormatPr defaultRowHeight="14.25" x14ac:dyDescent="0.2"/>
  <cols>
    <col min="1" max="1" width="11.28515625" style="23" customWidth="1"/>
    <col min="2" max="2" width="32.7109375" style="24" bestFit="1" customWidth="1"/>
    <col min="3" max="3" width="12.7109375" style="24" customWidth="1"/>
    <col min="4" max="4" width="13.42578125" style="23" customWidth="1"/>
    <col min="5" max="5" width="102.140625" style="23" bestFit="1" customWidth="1"/>
    <col min="6" max="16384" width="9.140625" style="23"/>
  </cols>
  <sheetData>
    <row r="1" spans="1:5" ht="26.25" x14ac:dyDescent="0.4">
      <c r="A1" s="100" t="s">
        <v>235</v>
      </c>
      <c r="B1" s="100"/>
      <c r="C1" s="100"/>
      <c r="D1" s="100"/>
      <c r="E1" s="100"/>
    </row>
    <row r="2" spans="1:5" ht="15.75" x14ac:dyDescent="0.25">
      <c r="A2" s="81" t="s">
        <v>232</v>
      </c>
    </row>
    <row r="3" spans="1:5" ht="21" x14ac:dyDescent="0.35">
      <c r="A3" s="25" t="s">
        <v>0</v>
      </c>
      <c r="B3" s="57"/>
      <c r="C3" s="27" t="b">
        <v>1</v>
      </c>
      <c r="D3" s="26"/>
      <c r="E3" s="82" t="s">
        <v>234</v>
      </c>
    </row>
    <row r="4" spans="1:5" ht="15" x14ac:dyDescent="0.25">
      <c r="A4" s="28" t="s">
        <v>108</v>
      </c>
      <c r="B4" s="58" t="s">
        <v>3</v>
      </c>
      <c r="C4" s="29" t="s">
        <v>34</v>
      </c>
      <c r="D4" s="28"/>
    </row>
    <row r="5" spans="1:5" ht="15" x14ac:dyDescent="0.25">
      <c r="A5" s="28" t="s">
        <v>40</v>
      </c>
      <c r="B5" s="58" t="s">
        <v>4</v>
      </c>
      <c r="C5" s="29">
        <v>180</v>
      </c>
      <c r="D5" s="28" t="s">
        <v>42</v>
      </c>
    </row>
    <row r="6" spans="1:5" ht="15" x14ac:dyDescent="0.25">
      <c r="A6" s="28" t="s">
        <v>41</v>
      </c>
      <c r="B6" s="58" t="s">
        <v>5</v>
      </c>
      <c r="C6" s="29" t="s">
        <v>61</v>
      </c>
      <c r="D6" s="28"/>
    </row>
    <row r="7" spans="1:5" ht="15" x14ac:dyDescent="0.25">
      <c r="A7" s="28" t="s">
        <v>52</v>
      </c>
      <c r="B7" s="58" t="s">
        <v>1</v>
      </c>
      <c r="C7" s="29" t="s">
        <v>114</v>
      </c>
      <c r="D7" s="28"/>
    </row>
    <row r="8" spans="1:5" ht="15" x14ac:dyDescent="0.25">
      <c r="A8" s="28" t="s">
        <v>53</v>
      </c>
      <c r="B8" s="58" t="s">
        <v>2</v>
      </c>
      <c r="C8" s="29" t="s">
        <v>36</v>
      </c>
      <c r="D8" s="28"/>
    </row>
    <row r="9" spans="1:5" ht="15" x14ac:dyDescent="0.25">
      <c r="A9" s="28" t="s">
        <v>66</v>
      </c>
      <c r="B9" s="58" t="s">
        <v>67</v>
      </c>
      <c r="C9" s="29">
        <v>7</v>
      </c>
      <c r="D9" s="28"/>
    </row>
    <row r="10" spans="1:5" ht="15" x14ac:dyDescent="0.25">
      <c r="A10" s="28" t="s">
        <v>54</v>
      </c>
      <c r="B10" s="58" t="s">
        <v>63</v>
      </c>
      <c r="C10" s="30">
        <v>6.5</v>
      </c>
      <c r="D10" s="28"/>
    </row>
    <row r="11" spans="1:5" ht="15" x14ac:dyDescent="0.25">
      <c r="A11" s="28" t="s">
        <v>64</v>
      </c>
      <c r="B11" s="58" t="s">
        <v>65</v>
      </c>
      <c r="C11" s="30">
        <v>6.3</v>
      </c>
      <c r="D11" s="28"/>
    </row>
    <row r="12" spans="1:5" ht="15" x14ac:dyDescent="0.25">
      <c r="A12" s="28" t="s">
        <v>55</v>
      </c>
      <c r="B12" s="58" t="s">
        <v>56</v>
      </c>
      <c r="C12" s="29">
        <v>15</v>
      </c>
      <c r="D12" s="28" t="str">
        <f>C8</f>
        <v>ppm</v>
      </c>
    </row>
    <row r="13" spans="1:5" ht="15" x14ac:dyDescent="0.25">
      <c r="A13" s="28" t="s">
        <v>57</v>
      </c>
      <c r="B13" s="58" t="s">
        <v>58</v>
      </c>
      <c r="C13" s="29">
        <v>90</v>
      </c>
      <c r="D13" s="28" t="str">
        <f>C8</f>
        <v>ppm</v>
      </c>
    </row>
    <row r="14" spans="1:5" ht="15" x14ac:dyDescent="0.25">
      <c r="A14" s="28" t="s">
        <v>59</v>
      </c>
      <c r="B14" s="58" t="s">
        <v>9</v>
      </c>
      <c r="C14" s="29">
        <v>12</v>
      </c>
      <c r="D14" s="28"/>
    </row>
    <row r="15" spans="1:5" ht="15" x14ac:dyDescent="0.25">
      <c r="A15" s="28" t="s">
        <v>153</v>
      </c>
      <c r="B15" s="58" t="s">
        <v>154</v>
      </c>
      <c r="C15" s="29" t="s">
        <v>159</v>
      </c>
      <c r="D15" s="28" t="s">
        <v>182</v>
      </c>
    </row>
    <row r="16" spans="1:5" ht="15" x14ac:dyDescent="0.25">
      <c r="A16" s="28" t="s">
        <v>83</v>
      </c>
      <c r="B16" s="58" t="s">
        <v>7</v>
      </c>
      <c r="C16" s="29" t="s">
        <v>34</v>
      </c>
      <c r="D16" s="28"/>
    </row>
    <row r="17" spans="1:5" ht="15" x14ac:dyDescent="0.25">
      <c r="A17" s="28" t="s">
        <v>84</v>
      </c>
      <c r="B17" s="58" t="s">
        <v>8</v>
      </c>
      <c r="C17" s="29">
        <v>4</v>
      </c>
      <c r="D17" s="28" t="s">
        <v>116</v>
      </c>
    </row>
    <row r="18" spans="1:5" ht="15" x14ac:dyDescent="0.25">
      <c r="A18" s="28" t="s">
        <v>87</v>
      </c>
      <c r="B18" s="58" t="s">
        <v>90</v>
      </c>
      <c r="C18" s="29">
        <v>0.5</v>
      </c>
      <c r="D18" s="28" t="s">
        <v>86</v>
      </c>
    </row>
    <row r="19" spans="1:5" ht="15" x14ac:dyDescent="0.25">
      <c r="A19" s="28" t="s">
        <v>88</v>
      </c>
      <c r="B19" s="58" t="s">
        <v>89</v>
      </c>
      <c r="C19" s="29">
        <v>4.5</v>
      </c>
      <c r="D19" s="28" t="s">
        <v>6</v>
      </c>
    </row>
    <row r="20" spans="1:5" ht="15" x14ac:dyDescent="0.25">
      <c r="A20" s="31" t="s">
        <v>91</v>
      </c>
      <c r="B20" s="33"/>
      <c r="C20" s="33"/>
      <c r="D20" s="32"/>
    </row>
    <row r="21" spans="1:5" ht="15" x14ac:dyDescent="0.25">
      <c r="A21" s="34" t="s">
        <v>92</v>
      </c>
      <c r="B21" s="59" t="s">
        <v>93</v>
      </c>
      <c r="C21" s="35">
        <v>120</v>
      </c>
      <c r="D21" s="34" t="str">
        <f>C8</f>
        <v>ppm</v>
      </c>
    </row>
    <row r="22" spans="1:5" ht="15" x14ac:dyDescent="0.25">
      <c r="A22" s="34" t="s">
        <v>94</v>
      </c>
      <c r="B22" s="59" t="s">
        <v>95</v>
      </c>
      <c r="C22" s="35">
        <v>20</v>
      </c>
      <c r="D22" s="34" t="str">
        <f>C8</f>
        <v>ppm</v>
      </c>
    </row>
    <row r="24" spans="1:5" ht="15" x14ac:dyDescent="0.25">
      <c r="A24" s="36" t="s">
        <v>168</v>
      </c>
      <c r="B24" s="38"/>
      <c r="C24" s="38"/>
      <c r="D24" s="37"/>
      <c r="E24" s="37"/>
    </row>
    <row r="25" spans="1:5" x14ac:dyDescent="0.2">
      <c r="A25" s="39" t="s">
        <v>110</v>
      </c>
      <c r="B25" s="60" t="s">
        <v>111</v>
      </c>
      <c r="C25" s="83">
        <f>stp*IF(stt="Mehlich-3",IF(stu="ppm",1,2),IF(stu="ppm",1/1.35,2/1.35))</f>
        <v>15</v>
      </c>
      <c r="D25" s="39" t="s">
        <v>36</v>
      </c>
      <c r="E25" s="41" t="s">
        <v>166</v>
      </c>
    </row>
    <row r="26" spans="1:5" x14ac:dyDescent="0.2">
      <c r="A26" s="39" t="s">
        <v>112</v>
      </c>
      <c r="B26" s="60" t="s">
        <v>113</v>
      </c>
      <c r="C26" s="83">
        <f>stk*IF(stt="Mehlich-3",IF(stu="ppm",1,2),IF(stu="ppm",1/1.14,2/1.14))</f>
        <v>90</v>
      </c>
      <c r="D26" s="39" t="s">
        <v>36</v>
      </c>
      <c r="E26" s="41" t="s">
        <v>167</v>
      </c>
    </row>
    <row r="27" spans="1:5" x14ac:dyDescent="0.2">
      <c r="A27" s="39" t="s">
        <v>172</v>
      </c>
      <c r="B27" s="60" t="s">
        <v>171</v>
      </c>
      <c r="C27" s="42">
        <f>PN/Vc</f>
        <v>0.1111111111111111</v>
      </c>
      <c r="D27" s="39" t="s">
        <v>173</v>
      </c>
      <c r="E27" s="43" t="s">
        <v>178</v>
      </c>
    </row>
    <row r="28" spans="1:5" x14ac:dyDescent="0.2">
      <c r="A28" s="39" t="s">
        <v>169</v>
      </c>
      <c r="B28" s="60" t="s">
        <v>174</v>
      </c>
      <c r="C28" s="40">
        <f>VLOOKUP(reg,INregions,3,FALSE)</f>
        <v>0.751</v>
      </c>
      <c r="D28" s="39" t="s">
        <v>177</v>
      </c>
      <c r="E28" s="41" t="s">
        <v>179</v>
      </c>
    </row>
    <row r="29" spans="1:5" ht="16.5" x14ac:dyDescent="0.2">
      <c r="A29" s="39" t="s">
        <v>170</v>
      </c>
      <c r="B29" s="60" t="s">
        <v>175</v>
      </c>
      <c r="C29" s="40">
        <f>VLOOKUP(reg,INregions,4,FALSE)</f>
        <v>-1.7799999999999999E-3</v>
      </c>
      <c r="D29" s="39" t="s">
        <v>183</v>
      </c>
      <c r="E29" s="41" t="s">
        <v>180</v>
      </c>
    </row>
    <row r="30" spans="1:5" x14ac:dyDescent="0.2">
      <c r="E30" s="44"/>
    </row>
    <row r="31" spans="1:5" ht="15" x14ac:dyDescent="0.25">
      <c r="A31" s="45" t="s">
        <v>109</v>
      </c>
      <c r="B31" s="47"/>
      <c r="C31" s="47"/>
      <c r="D31" s="46"/>
      <c r="E31" s="48"/>
    </row>
    <row r="32" spans="1:5" ht="18.75" x14ac:dyDescent="0.35">
      <c r="A32" s="49" t="s">
        <v>104</v>
      </c>
      <c r="B32" s="56" t="s">
        <v>184</v>
      </c>
      <c r="C32" s="50">
        <f>yg*VLOOKUP(cr,crops,4,FALSE)  +  ((MAX(20,llp)-MPp)*20/bi)</f>
        <v>88</v>
      </c>
      <c r="D32" s="49" t="s">
        <v>185</v>
      </c>
      <c r="E32" s="51" t="s">
        <v>164</v>
      </c>
    </row>
    <row r="33" spans="1:5" ht="18.75" x14ac:dyDescent="0.35">
      <c r="A33" s="49" t="s">
        <v>103</v>
      </c>
      <c r="B33" s="56" t="s">
        <v>186</v>
      </c>
      <c r="C33" s="52">
        <f>yg*VLOOKUP(cr,crops,5,FALSE)  +  20  +  ((MAX(0,llk-MKp)*(1+0.05*MIN(cec,20))))*4/bi</f>
        <v>104</v>
      </c>
      <c r="D33" s="49" t="s">
        <v>187</v>
      </c>
      <c r="E33" s="53" t="s">
        <v>165</v>
      </c>
    </row>
    <row r="34" spans="1:5" ht="15" x14ac:dyDescent="0.25">
      <c r="A34" s="49" t="s">
        <v>117</v>
      </c>
      <c r="B34" s="56" t="s">
        <v>118</v>
      </c>
      <c r="C34" s="54">
        <f>MAX(0, IF(st="mineral",  (-73.96+10.3*phb-3.02*phb*pht+21.39*pht),  (37.6-7.1*ph + (pht-MIN(5.3,ph))*5)  ) )</f>
        <v>0</v>
      </c>
      <c r="D34" s="49" t="s">
        <v>119</v>
      </c>
      <c r="E34" s="55" t="s">
        <v>237</v>
      </c>
    </row>
    <row r="35" spans="1:5" ht="15" x14ac:dyDescent="0.25">
      <c r="A35" s="49" t="s">
        <v>148</v>
      </c>
      <c r="B35" s="56" t="s">
        <v>151</v>
      </c>
      <c r="C35" s="50">
        <f>(cb-Npr)/(-2*cc) + IF(pc="soybeans",0, IF(pc="alfalfa",0,45))</f>
        <v>224.74406991260926</v>
      </c>
      <c r="D35" s="49" t="s">
        <v>152</v>
      </c>
      <c r="E35" s="51" t="s">
        <v>181</v>
      </c>
    </row>
  </sheetData>
  <sheetProtection sheet="1" objects="1" scenarios="1"/>
  <mergeCells count="1">
    <mergeCell ref="A1:E1"/>
  </mergeCells>
  <conditionalFormatting sqref="A4:A19">
    <cfRule type="expression" dxfId="4" priority="4">
      <formula>IF($C$3,0,1)</formula>
    </cfRule>
  </conditionalFormatting>
  <conditionalFormatting sqref="A21:A22">
    <cfRule type="expression" dxfId="3" priority="3">
      <formula>IF($C$3,0,1)</formula>
    </cfRule>
  </conditionalFormatting>
  <conditionalFormatting sqref="A25:A29 E25:E29">
    <cfRule type="expression" dxfId="2" priority="2">
      <formula>IF($C$3,0,1)</formula>
    </cfRule>
  </conditionalFormatting>
  <conditionalFormatting sqref="A32:A35 E32:E35">
    <cfRule type="expression" dxfId="1" priority="1">
      <formula>IF($C$3,0,1)</formula>
    </cfRule>
  </conditionalFormatting>
  <dataValidations disablePrompts="1" count="4">
    <dataValidation type="decimal" allowBlank="1" showInputMessage="1" showErrorMessage="1" errorTitle="Buffer pH error" error="Your buffer pH is outside the range of 5 to 7; try again." promptTitle="Buffer pH" prompt="Enter the buffer pH. If you have a lime index, your buffer pH is lime index divided by 10. It should be a decimal entry between 5.0 and 7.0." sqref="C9" xr:uid="{4467EF78-EBD1-4375-9401-F9A35DE9FBBD}">
      <formula1>5</formula1>
      <formula2>7</formula2>
    </dataValidation>
    <dataValidation type="decimal" allowBlank="1" showInputMessage="1" showErrorMessage="1" errorTitle="pH error" error="Your pH should be between 4.2 and 8.2; try again." promptTitle="Soil test pH" prompt="Enter the soil pH value from the soil test. It should be in the range of 4.2 to 8.2." sqref="C10" xr:uid="{0D379EB8-1C90-48FA-99C8-DBA4372E0717}">
      <formula1>4.2</formula1>
      <formula2>8.2</formula2>
    </dataValidation>
    <dataValidation type="decimal" allowBlank="1" showInputMessage="1" showErrorMessage="1" errorTitle="Target pH error" error="This should be in the 6-7 range for mineral soils and we assume 5.3 for organic soils; try again." promptTitle="Target pH" prompt="Enter your target pH. For mineral soils this would be between 6 and 7. For organic soils, a common recommendation is 5.3." sqref="C11" xr:uid="{C3961D08-0FC4-4DAD-B5BE-9FA1E646B59C}">
      <formula1>5.3</formula1>
      <formula2>7</formula2>
    </dataValidation>
    <dataValidation type="decimal" allowBlank="1" showInputMessage="1" showErrorMessage="1" errorTitle="CEC error" error="Your value was out of the 2-60 acceptable range. Try again." promptTitle="Cation Exchange capacity" prompt="Enter your CEC which should be in the 2 to 60 range." sqref="C14" xr:uid="{ECD3C773-3EBC-4663-9F6F-8830915135B6}">
      <formula1>2</formula1>
      <formula2>60</formula2>
    </dataValidation>
  </dataValidations>
  <hyperlinks>
    <hyperlink ref="E3" r:id="rId1" xr:uid="{0139C570-7580-44C9-9C1D-8E3B0277668F}"/>
  </hyperlinks>
  <printOptions gridLines="1"/>
  <pageMargins left="0.7" right="0.7" top="0.75" bottom="0.75" header="0.3" footer="0.3"/>
  <pageSetup scale="8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084" r:id="rId5" name="Check Box 12">
              <controlPr defaultSize="0" autoFill="0" autoLine="0" autoPict="0">
                <anchor moveWithCells="1">
                  <from>
                    <xdr:col>4</xdr:col>
                    <xdr:colOff>371475</xdr:colOff>
                    <xdr:row>1</xdr:row>
                    <xdr:rowOff>180975</xdr:rowOff>
                  </from>
                  <to>
                    <xdr:col>4</xdr:col>
                    <xdr:colOff>4010025</xdr:colOff>
                    <xdr:row>3</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3">
        <x14:dataValidation type="list" allowBlank="1" showInputMessage="1" showErrorMessage="1" errorTitle="Units error" error="Please select the units on your soil test." promptTitle="Soil test units" prompt="Select the units on your soil test results." xr:uid="{1C75DCF5-B218-4F5D-8432-EE8A31D7E346}">
          <x14:formula1>
            <xm:f>DVlists!$A$13:$A$14</xm:f>
          </x14:formula1>
          <xm:sqref>C8</xm:sqref>
        </x14:dataValidation>
        <x14:dataValidation type="list" allowBlank="1" showInputMessage="1" showErrorMessage="1" errorTitle="Crop choice error" error="You must choose one of the options." promptTitle="Choose a crop" prompt="Choose the crop to consider for the nutrient recommendations" xr:uid="{555E2B7E-6EED-47AE-8A67-E6062B07D8A8}">
          <x14:formula1>
            <xm:f>DVlists!$A$2:$A$3</xm:f>
          </x14:formula1>
          <xm:sqref>C4</xm:sqref>
        </x14:dataValidation>
        <x14:dataValidation type="list" allowBlank="1" showInputMessage="1" showErrorMessage="1" errorTitle="Test type error" error="Please select the type of soil test performed." promptTitle="Soil test method" prompt="Select which test method was used. Mehlich-3 is most common. If you choose Bray, we assume you used Ammonium Acetate for K." xr:uid="{566ACED5-C2B6-46EF-8CEF-7067B25650C2}">
          <x14:formula1>
            <xm:f>DVlists!$A$9:$A$10</xm:f>
          </x14:formula1>
          <xm:sqref>C7</xm:sqref>
        </x14:dataValidation>
        <x14:dataValidation type="list" allowBlank="1" showInputMessage="1" showErrorMessage="1" errorTitle="Units error" error="Please select a soil type." promptTitle="Soil type" prompt="Select a soil type." xr:uid="{CA0F3BA3-8C34-4087-AEA9-D9290A1BB497}">
          <x14:formula1>
            <xm:f>DVlists!$A$17:$A$18</xm:f>
          </x14:formula1>
          <xm:sqref>C6</xm:sqref>
        </x14:dataValidation>
        <x14:dataValidation type="list" allowBlank="1" showInputMessage="1" showErrorMessage="1" errorTitle="Soil type error" error="Please select one of the soil types." promptTitle="Soil type selection" prompt="Select a primary soil type." xr:uid="{0F161394-AAC9-440D-A391-8EDC2E0A39A3}">
          <x14:formula1>
            <xm:f>DVlists!$A$17:$A$18</xm:f>
          </x14:formula1>
          <xm:sqref>C6</xm:sqref>
        </x14:dataValidation>
        <x14:dataValidation type="list" allowBlank="1" showInputMessage="1" showErrorMessage="1" errorTitle="build up error" error="You must select one of 3 options to build up nutrient concentrations in the soil (applies if levels are below the critical levels)" promptTitle="Build up intentions" prompt="If soil test is below the critical level, which option is preferred to build soil nutrient levels to within the maintenance range?" xr:uid="{287E6718-2B4F-42DF-82FF-8CD5A6258AD7}">
          <x14:formula1>
            <xm:f>DVlists!$A$37:$A$39</xm:f>
          </x14:formula1>
          <xm:sqref>C17</xm:sqref>
        </x14:dataValidation>
        <x14:dataValidation type="list" allowBlank="1" showInputMessage="1" showErrorMessage="1" errorTitle="Previous crop error" error="Select the crop that was in this place previously." promptTitle="Previous crop" prompt="What crop was on this soil previously?" xr:uid="{3EA89F77-A523-4667-B4BC-8FD736938551}">
          <x14:formula1>
            <xm:f>DVlists!$A$2:$A$6</xm:f>
          </x14:formula1>
          <xm:sqref>C16</xm:sqref>
        </x14:dataValidation>
        <x14:dataValidation type="list" allowBlank="1" showInputMessage="1" showErrorMessage="1" errorTitle="Region error" error="Please select one of the 9 IN regions." promptTitle="Region of IN" prompt="Select the region where this land is." xr:uid="{3EE420A2-7B4C-4827-AED9-70F566AF5950}">
          <x14:formula1>
            <xm:f>DVlists!$A$50:$A$58</xm:f>
          </x14:formula1>
          <xm:sqref>C15</xm:sqref>
        </x14:dataValidation>
        <x14:dataValidation type="whole" allowBlank="1" showInputMessage="1" showErrorMessage="1" errorTitle="K maintenance error" error="Your lower limit of the maintenenance range is out of limits." promptTitle="Maint lower limit P" prompt="Lower limit on the maintenance range of P. Typically is 20 ppm or 40 lb/ac; acceptable range goes up to 40 ppm or 80 lb/ac." xr:uid="{B411D867-67D4-4A23-A9E5-24916AF4D87B}">
          <x14:formula1>
            <xm:f>DVlists!A46</xm:f>
          </x14:formula1>
          <x14:formula2>
            <xm:f>DVlists!A47</xm:f>
          </x14:formula2>
          <xm:sqref>C22</xm:sqref>
        </x14:dataValidation>
        <x14:dataValidation type="whole" allowBlank="1" showInputMessage="1" showErrorMessage="1" errorTitle="K maintenance error" error="Your lower limit of the maintenenance range is out of limits." promptTitle="Maint lower limit K" prompt="Lower limit on the maintenance range of K._x000a_For loamy or clay soils, this is typically 120 ppm or 240 lb/ac; acceptable up to 170 ppm or 340 lb/ac._x000a_For sandy soils, this is typically 100 ppm or 200 lb/ac; acceptable up to 130 ppm or 260 lb/ac._x000a_" xr:uid="{21C0171B-A9D2-4F0F-8F4C-1B30A0A87171}">
          <x14:formula1>
            <xm:f>DVlists!A42</xm:f>
          </x14:formula1>
          <x14:formula2>
            <xm:f>DVlists!A43</xm:f>
          </x14:formula2>
          <xm:sqref>C21</xm:sqref>
        </x14:dataValidation>
        <x14:dataValidation type="whole" allowBlank="1" showInputMessage="1" showErrorMessage="1" errorTitle="Soil test K error" error="Your K value is out of range." promptTitle="Soil K test results" prompt="Note that units are important; the limits on entries here depend on the units you have chosen" xr:uid="{2810C4D1-E01E-4D77-AAD5-1B9CB2D33FF2}">
          <x14:formula1>
            <xm:f>DVlists!A33</xm:f>
          </x14:formula1>
          <x14:formula2>
            <xm:f>DVlists!A34</xm:f>
          </x14:formula2>
          <xm:sqref>C13</xm:sqref>
        </x14:dataValidation>
        <x14:dataValidation type="whole" allowBlank="1" showInputMessage="1" showErrorMessage="1" errorTitle="soil test P error" error="Your P value is out of range; try again." promptTitle="Soil P test results" prompt="Note that units are important; the limits on entries here depend on the units you have chosen" xr:uid="{DA32BEF5-3CD8-46D4-BE38-C560CAB5F298}">
          <x14:formula1>
            <xm:f>DVlists!A29</xm:f>
          </x14:formula1>
          <x14:formula2>
            <xm:f>DVlists!A30</xm:f>
          </x14:formula2>
          <xm:sqref>C12</xm:sqref>
        </x14:dataValidation>
        <x14:dataValidation type="whole" allowBlank="1" showInputMessage="1" showErrorMessage="1" errorTitle="Yield Goal Error" error="Your yield goal was out of range or not an integer. Please try again." promptTitle="Yield Goal" prompt="Enter an integer of your yield goal in bu/ac. Note the acceptable range is constrained by the crop you have chosen." xr:uid="{44E73E6A-5D74-4404-90CB-B79756B211FD}">
          <x14:formula1>
            <xm:f>DVlists!A21</xm:f>
          </x14:formula1>
          <x14:formula2>
            <xm:f>DVlists!A22</xm:f>
          </x14:formula2>
          <xm:sqref>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5448D-0CDF-4F70-93C1-656516574E42}">
  <dimension ref="A1:I66"/>
  <sheetViews>
    <sheetView topLeftCell="A52" zoomScale="175" zoomScaleNormal="175" workbookViewId="0">
      <selection activeCell="F65" sqref="F65"/>
    </sheetView>
  </sheetViews>
  <sheetFormatPr defaultRowHeight="15" x14ac:dyDescent="0.25"/>
  <cols>
    <col min="1" max="1" width="11.140625" customWidth="1"/>
    <col min="4" max="4" width="10.28515625" bestFit="1" customWidth="1"/>
    <col min="6" max="6" width="12.85546875" bestFit="1" customWidth="1"/>
  </cols>
  <sheetData>
    <row r="1" spans="1:9" x14ac:dyDescent="0.25">
      <c r="A1" t="s">
        <v>45</v>
      </c>
      <c r="B1" t="s">
        <v>50</v>
      </c>
      <c r="C1" t="s">
        <v>49</v>
      </c>
      <c r="D1" t="s">
        <v>105</v>
      </c>
      <c r="E1" t="s">
        <v>106</v>
      </c>
    </row>
    <row r="2" spans="1:9" x14ac:dyDescent="0.25">
      <c r="A2" t="s">
        <v>34</v>
      </c>
      <c r="B2">
        <v>100</v>
      </c>
      <c r="C2">
        <v>350</v>
      </c>
      <c r="D2">
        <v>0.35</v>
      </c>
      <c r="E2">
        <v>0.2</v>
      </c>
    </row>
    <row r="3" spans="1:9" x14ac:dyDescent="0.25">
      <c r="A3" t="s">
        <v>35</v>
      </c>
      <c r="B3">
        <v>30</v>
      </c>
      <c r="C3">
        <v>80</v>
      </c>
      <c r="D3">
        <v>0.8</v>
      </c>
      <c r="E3">
        <v>1.1499999999999999</v>
      </c>
    </row>
    <row r="4" spans="1:9" x14ac:dyDescent="0.25">
      <c r="A4" t="s">
        <v>43</v>
      </c>
      <c r="B4">
        <v>40</v>
      </c>
      <c r="C4">
        <v>130</v>
      </c>
      <c r="D4">
        <v>0.5</v>
      </c>
      <c r="E4">
        <v>0.25</v>
      </c>
    </row>
    <row r="5" spans="1:9" x14ac:dyDescent="0.25">
      <c r="A5" t="s">
        <v>107</v>
      </c>
      <c r="B5">
        <v>12</v>
      </c>
      <c r="C5">
        <v>30</v>
      </c>
      <c r="D5">
        <v>3.1</v>
      </c>
      <c r="E5">
        <v>7.3</v>
      </c>
    </row>
    <row r="6" spans="1:9" x14ac:dyDescent="0.25">
      <c r="A6" t="s">
        <v>44</v>
      </c>
      <c r="B6">
        <v>3</v>
      </c>
      <c r="C6">
        <v>10</v>
      </c>
      <c r="D6">
        <v>12</v>
      </c>
      <c r="E6">
        <v>49</v>
      </c>
    </row>
    <row r="8" spans="1:9" x14ac:dyDescent="0.25">
      <c r="A8" t="s">
        <v>46</v>
      </c>
    </row>
    <row r="9" spans="1:9" x14ac:dyDescent="0.25">
      <c r="A9" t="s">
        <v>114</v>
      </c>
    </row>
    <row r="10" spans="1:9" x14ac:dyDescent="0.25">
      <c r="A10" t="s">
        <v>115</v>
      </c>
    </row>
    <row r="12" spans="1:9" x14ac:dyDescent="0.25">
      <c r="A12" t="s">
        <v>96</v>
      </c>
      <c r="B12" t="s">
        <v>77</v>
      </c>
      <c r="C12" t="s">
        <v>78</v>
      </c>
      <c r="D12" t="s">
        <v>79</v>
      </c>
      <c r="E12" t="s">
        <v>80</v>
      </c>
      <c r="F12" t="s">
        <v>98</v>
      </c>
      <c r="G12" t="s">
        <v>97</v>
      </c>
      <c r="H12" t="s">
        <v>99</v>
      </c>
      <c r="I12" t="s">
        <v>100</v>
      </c>
    </row>
    <row r="13" spans="1:9" x14ac:dyDescent="0.25">
      <c r="A13" t="s">
        <v>36</v>
      </c>
      <c r="B13">
        <v>0</v>
      </c>
      <c r="C13">
        <v>250</v>
      </c>
      <c r="D13">
        <v>20</v>
      </c>
      <c r="E13">
        <v>400</v>
      </c>
      <c r="F13">
        <v>20</v>
      </c>
      <c r="G13">
        <v>40</v>
      </c>
      <c r="H13">
        <v>90</v>
      </c>
      <c r="I13">
        <v>120</v>
      </c>
    </row>
    <row r="14" spans="1:9" x14ac:dyDescent="0.25">
      <c r="A14" t="s">
        <v>37</v>
      </c>
      <c r="B14">
        <f t="shared" ref="B14:I14" si="0">2*B13</f>
        <v>0</v>
      </c>
      <c r="C14">
        <f t="shared" si="0"/>
        <v>500</v>
      </c>
      <c r="D14">
        <f t="shared" si="0"/>
        <v>40</v>
      </c>
      <c r="E14">
        <f t="shared" si="0"/>
        <v>800</v>
      </c>
      <c r="F14">
        <f t="shared" si="0"/>
        <v>40</v>
      </c>
      <c r="G14">
        <f t="shared" si="0"/>
        <v>80</v>
      </c>
      <c r="H14">
        <f t="shared" si="0"/>
        <v>180</v>
      </c>
      <c r="I14">
        <f t="shared" si="0"/>
        <v>240</v>
      </c>
    </row>
    <row r="16" spans="1:9" x14ac:dyDescent="0.25">
      <c r="A16" t="s">
        <v>60</v>
      </c>
      <c r="B16" t="s">
        <v>191</v>
      </c>
      <c r="C16" t="s">
        <v>192</v>
      </c>
    </row>
    <row r="17" spans="1:6" x14ac:dyDescent="0.25">
      <c r="A17" t="s">
        <v>61</v>
      </c>
      <c r="B17">
        <v>6</v>
      </c>
      <c r="C17">
        <v>7</v>
      </c>
    </row>
    <row r="18" spans="1:6" x14ac:dyDescent="0.25">
      <c r="A18" t="s">
        <v>62</v>
      </c>
      <c r="B18">
        <v>5.22</v>
      </c>
      <c r="C18">
        <v>5.88</v>
      </c>
    </row>
    <row r="20" spans="1:6" x14ac:dyDescent="0.25">
      <c r="A20" t="s">
        <v>51</v>
      </c>
    </row>
    <row r="21" spans="1:6" x14ac:dyDescent="0.25">
      <c r="A21">
        <f>VLOOKUP('recommendation tool'!C4,DVlists!A2:C6,2,FALSE)</f>
        <v>100</v>
      </c>
      <c r="B21" t="s">
        <v>47</v>
      </c>
    </row>
    <row r="22" spans="1:6" x14ac:dyDescent="0.25">
      <c r="A22">
        <f>VLOOKUP('recommendation tool'!C4,DVlists!A2:C6,3,FALSE)</f>
        <v>350</v>
      </c>
      <c r="B22" t="s">
        <v>48</v>
      </c>
      <c r="F22" s="5"/>
    </row>
    <row r="24" spans="1:6" x14ac:dyDescent="0.25">
      <c r="A24" t="s">
        <v>190</v>
      </c>
    </row>
    <row r="25" spans="1:6" x14ac:dyDescent="0.25">
      <c r="A25">
        <f>VLOOKUP('recommendation tool'!C6,DVlists!A17:C18,2,FALSE)</f>
        <v>6</v>
      </c>
      <c r="B25" t="s">
        <v>47</v>
      </c>
    </row>
    <row r="26" spans="1:6" x14ac:dyDescent="0.25">
      <c r="A26">
        <f>VLOOKUP('recommendation tool'!C6,DVlists!A17:C18,3,FALSE)</f>
        <v>7</v>
      </c>
      <c r="B26" t="s">
        <v>48</v>
      </c>
    </row>
    <row r="28" spans="1:6" x14ac:dyDescent="0.25">
      <c r="A28" t="s">
        <v>81</v>
      </c>
    </row>
    <row r="29" spans="1:6" x14ac:dyDescent="0.25">
      <c r="A29">
        <f>VLOOKUP('recommendation tool'!C8,DVlists!A13:E14,2,FALSE)</f>
        <v>0</v>
      </c>
      <c r="B29" t="s">
        <v>47</v>
      </c>
    </row>
    <row r="30" spans="1:6" x14ac:dyDescent="0.25">
      <c r="A30">
        <f>VLOOKUP('recommendation tool'!C8,DVlists!A13:E14,3,FALSE)</f>
        <v>250</v>
      </c>
      <c r="B30" t="s">
        <v>48</v>
      </c>
    </row>
    <row r="32" spans="1:6" x14ac:dyDescent="0.25">
      <c r="A32" t="s">
        <v>82</v>
      </c>
    </row>
    <row r="33" spans="1:2" x14ac:dyDescent="0.25">
      <c r="A33">
        <f>VLOOKUP('recommendation tool'!C8,DVlists!A13:E14,4, FALSE)</f>
        <v>20</v>
      </c>
      <c r="B33" t="s">
        <v>47</v>
      </c>
    </row>
    <row r="34" spans="1:2" x14ac:dyDescent="0.25">
      <c r="A34">
        <f>VLOOKUP('recommendation tool'!C8,DVlists!A13:E14,5, FALSE)</f>
        <v>400</v>
      </c>
      <c r="B34" t="s">
        <v>48</v>
      </c>
    </row>
    <row r="36" spans="1:2" x14ac:dyDescent="0.25">
      <c r="A36" t="s">
        <v>85</v>
      </c>
    </row>
    <row r="37" spans="1:2" x14ac:dyDescent="0.25">
      <c r="A37">
        <v>4</v>
      </c>
      <c r="B37" t="s">
        <v>116</v>
      </c>
    </row>
    <row r="38" spans="1:2" x14ac:dyDescent="0.25">
      <c r="A38">
        <v>2</v>
      </c>
      <c r="B38" t="s">
        <v>116</v>
      </c>
    </row>
    <row r="39" spans="1:2" x14ac:dyDescent="0.25">
      <c r="A39">
        <v>1</v>
      </c>
      <c r="B39" t="s">
        <v>116</v>
      </c>
    </row>
    <row r="41" spans="1:2" x14ac:dyDescent="0.25">
      <c r="A41" t="s">
        <v>101</v>
      </c>
    </row>
    <row r="42" spans="1:2" x14ac:dyDescent="0.25">
      <c r="A42">
        <f>VLOOKUP('recommendation tool'!C8,DVlists!A13:I14,8, FALSE)</f>
        <v>90</v>
      </c>
      <c r="B42" t="s">
        <v>47</v>
      </c>
    </row>
    <row r="43" spans="1:2" x14ac:dyDescent="0.25">
      <c r="A43">
        <f>VLOOKUP('recommendation tool'!C8,DVlists!A13:I14,9, FALSE)</f>
        <v>120</v>
      </c>
      <c r="B43" t="s">
        <v>48</v>
      </c>
    </row>
    <row r="45" spans="1:2" x14ac:dyDescent="0.25">
      <c r="A45" t="s">
        <v>102</v>
      </c>
    </row>
    <row r="46" spans="1:2" x14ac:dyDescent="0.25">
      <c r="A46">
        <f>VLOOKUP('recommendation tool'!C8,DVlists!A13:I14,6, FALSE)</f>
        <v>20</v>
      </c>
      <c r="B46" t="s">
        <v>47</v>
      </c>
    </row>
    <row r="47" spans="1:2" x14ac:dyDescent="0.25">
      <c r="A47">
        <f>VLOOKUP('recommendation tool'!C8,DVlists!A13:I14,7, FALSE)</f>
        <v>40</v>
      </c>
      <c r="B47" t="s">
        <v>48</v>
      </c>
    </row>
    <row r="49" spans="1:6" x14ac:dyDescent="0.25">
      <c r="A49" t="s">
        <v>155</v>
      </c>
      <c r="B49" t="s">
        <v>69</v>
      </c>
      <c r="C49" t="s">
        <v>70</v>
      </c>
      <c r="D49" t="s">
        <v>38</v>
      </c>
    </row>
    <row r="50" spans="1:6" x14ac:dyDescent="0.25">
      <c r="A50" t="s">
        <v>157</v>
      </c>
      <c r="B50">
        <v>105.9</v>
      </c>
      <c r="C50">
        <v>0.90200000000000002</v>
      </c>
      <c r="D50" s="16">
        <v>-2.15E-3</v>
      </c>
    </row>
    <row r="51" spans="1:6" x14ac:dyDescent="0.25">
      <c r="A51" t="s">
        <v>156</v>
      </c>
      <c r="B51">
        <v>122.9</v>
      </c>
      <c r="C51">
        <v>0.751</v>
      </c>
      <c r="D51" s="16">
        <v>-1.7799999999999999E-3</v>
      </c>
    </row>
    <row r="52" spans="1:6" x14ac:dyDescent="0.25">
      <c r="A52" t="s">
        <v>158</v>
      </c>
      <c r="B52">
        <v>76.66</v>
      </c>
      <c r="C52">
        <v>0.86199999999999999</v>
      </c>
      <c r="D52" s="16">
        <v>-1.6999999999999999E-3</v>
      </c>
    </row>
    <row r="53" spans="1:6" x14ac:dyDescent="0.25">
      <c r="A53" t="s">
        <v>159</v>
      </c>
      <c r="B53">
        <v>122.9</v>
      </c>
      <c r="C53">
        <v>0.751</v>
      </c>
      <c r="D53" s="16">
        <v>-1.7799999999999999E-3</v>
      </c>
    </row>
    <row r="54" spans="1:6" x14ac:dyDescent="0.25">
      <c r="A54" t="s">
        <v>39</v>
      </c>
      <c r="B54">
        <v>105.3</v>
      </c>
      <c r="C54">
        <v>0.85899999999999999</v>
      </c>
      <c r="D54" s="16">
        <v>-1.8500000000000001E-3</v>
      </c>
    </row>
    <row r="55" spans="1:6" x14ac:dyDescent="0.25">
      <c r="A55" t="s">
        <v>160</v>
      </c>
      <c r="B55">
        <v>76.66</v>
      </c>
      <c r="C55">
        <v>0.86199999999999999</v>
      </c>
      <c r="D55" s="16">
        <v>-1.6999999999999999E-3</v>
      </c>
    </row>
    <row r="56" spans="1:6" x14ac:dyDescent="0.25">
      <c r="A56" t="s">
        <v>161</v>
      </c>
      <c r="B56">
        <v>122.9</v>
      </c>
      <c r="C56">
        <v>0.751</v>
      </c>
      <c r="D56" s="16">
        <v>-1.7799999999999999E-3</v>
      </c>
    </row>
    <row r="57" spans="1:6" x14ac:dyDescent="0.25">
      <c r="A57" t="s">
        <v>162</v>
      </c>
      <c r="B57">
        <v>105.9</v>
      </c>
      <c r="C57">
        <v>0.90200000000000002</v>
      </c>
      <c r="D57" s="16">
        <v>-2.15E-3</v>
      </c>
    </row>
    <row r="58" spans="1:6" x14ac:dyDescent="0.25">
      <c r="A58" t="s">
        <v>163</v>
      </c>
      <c r="B58">
        <v>105.9</v>
      </c>
      <c r="C58">
        <v>0.90200000000000002</v>
      </c>
      <c r="D58" s="16">
        <v>-2.15E-3</v>
      </c>
    </row>
    <row r="59" spans="1:6" x14ac:dyDescent="0.25">
      <c r="D59" s="16"/>
    </row>
    <row r="60" spans="1:6" ht="15.75" x14ac:dyDescent="0.25">
      <c r="A60" s="17" t="s">
        <v>176</v>
      </c>
    </row>
    <row r="61" spans="1:6" ht="15.75" x14ac:dyDescent="0.25">
      <c r="A61" s="22" t="s">
        <v>68</v>
      </c>
      <c r="B61" s="22" t="s">
        <v>69</v>
      </c>
      <c r="C61" s="22" t="s">
        <v>70</v>
      </c>
      <c r="D61" s="22" t="s">
        <v>38</v>
      </c>
      <c r="E61" s="22" t="s">
        <v>71</v>
      </c>
      <c r="F61" s="22" t="s">
        <v>72</v>
      </c>
    </row>
    <row r="62" spans="1:6" x14ac:dyDescent="0.25">
      <c r="A62" s="18" t="s">
        <v>39</v>
      </c>
      <c r="B62" s="2">
        <v>105.3</v>
      </c>
      <c r="C62" s="2">
        <v>0.85899999999999999</v>
      </c>
      <c r="D62" s="13">
        <v>-1.8500000000000001E-3</v>
      </c>
      <c r="E62" s="2">
        <v>232.2</v>
      </c>
      <c r="F62" s="2">
        <v>205</v>
      </c>
    </row>
    <row r="63" spans="1:6" x14ac:dyDescent="0.25">
      <c r="A63" s="19" t="s">
        <v>73</v>
      </c>
      <c r="B63" s="3">
        <v>113.5</v>
      </c>
      <c r="C63" s="3">
        <v>0.80489999999999995</v>
      </c>
      <c r="D63" s="14">
        <v>-1.91E-3</v>
      </c>
      <c r="E63" s="3">
        <v>211</v>
      </c>
      <c r="F63" s="3">
        <v>198.4</v>
      </c>
    </row>
    <row r="64" spans="1:6" x14ac:dyDescent="0.25">
      <c r="A64" s="19" t="s">
        <v>74</v>
      </c>
      <c r="B64" s="3">
        <v>113.5</v>
      </c>
      <c r="C64" s="3">
        <v>0.80489999999999995</v>
      </c>
      <c r="D64" s="14">
        <v>-1.91E-3</v>
      </c>
      <c r="E64" s="3">
        <v>211</v>
      </c>
      <c r="F64" s="3">
        <v>198.4</v>
      </c>
    </row>
    <row r="65" spans="1:6" x14ac:dyDescent="0.25">
      <c r="A65" s="20" t="s">
        <v>75</v>
      </c>
      <c r="B65" s="3">
        <v>76.661600000000007</v>
      </c>
      <c r="C65" s="3">
        <v>0.86229</v>
      </c>
      <c r="D65" s="14">
        <v>-1.6999999999999999E-3</v>
      </c>
      <c r="E65" s="3">
        <v>254.3</v>
      </c>
      <c r="F65" s="3">
        <v>186.3</v>
      </c>
    </row>
    <row r="66" spans="1:6" x14ac:dyDescent="0.25">
      <c r="A66" s="21" t="s">
        <v>76</v>
      </c>
      <c r="B66" s="4">
        <v>113.5</v>
      </c>
      <c r="C66" s="4">
        <v>0.80489999999999995</v>
      </c>
      <c r="D66" s="15">
        <v>-1.91E-3</v>
      </c>
      <c r="E66" s="4">
        <v>211</v>
      </c>
      <c r="F66" s="4">
        <v>198.4</v>
      </c>
    </row>
  </sheetData>
  <sheetProtection sheet="1" objects="1" scenarios="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53B48-E7C9-4DD9-8A11-12BAEA360393}">
  <sheetPr codeName="Sheet5"/>
  <dimension ref="A1:H39"/>
  <sheetViews>
    <sheetView tabSelected="1" zoomScale="96" zoomScaleNormal="96" workbookViewId="0">
      <selection activeCell="H21" sqref="H21"/>
    </sheetView>
  </sheetViews>
  <sheetFormatPr defaultRowHeight="15" x14ac:dyDescent="0.2"/>
  <cols>
    <col min="1" max="1" width="19" style="65" customWidth="1"/>
    <col min="2" max="2" width="25.7109375" style="65" bestFit="1" customWidth="1"/>
    <col min="3" max="3" width="19" style="65" customWidth="1"/>
    <col min="4" max="7" width="25.42578125" style="65" customWidth="1"/>
    <col min="8" max="8" width="171" style="65" bestFit="1" customWidth="1"/>
    <col min="9" max="16384" width="9.140625" style="65"/>
  </cols>
  <sheetData>
    <row r="1" spans="1:8" s="23" customFormat="1" ht="26.25" x14ac:dyDescent="0.4">
      <c r="A1" s="100" t="s">
        <v>233</v>
      </c>
      <c r="B1" s="100"/>
      <c r="C1" s="100"/>
      <c r="D1" s="100"/>
      <c r="E1" s="100"/>
      <c r="F1" s="100"/>
      <c r="G1" s="100"/>
    </row>
    <row r="2" spans="1:8" s="23" customFormat="1" ht="15.75" x14ac:dyDescent="0.25">
      <c r="A2" s="81" t="s">
        <v>232</v>
      </c>
      <c r="B2" s="24"/>
      <c r="C2" s="24"/>
    </row>
    <row r="3" spans="1:8" ht="15.75" x14ac:dyDescent="0.25">
      <c r="A3" s="62" t="s">
        <v>0</v>
      </c>
      <c r="B3" s="63"/>
      <c r="C3" s="63"/>
      <c r="D3" s="63" t="s">
        <v>194</v>
      </c>
      <c r="E3" s="63" t="s">
        <v>195</v>
      </c>
      <c r="F3" s="63" t="s">
        <v>196</v>
      </c>
      <c r="G3" s="63" t="s">
        <v>197</v>
      </c>
      <c r="H3" s="64" t="b">
        <v>1</v>
      </c>
    </row>
    <row r="4" spans="1:8" x14ac:dyDescent="0.2">
      <c r="A4" s="65" t="s">
        <v>198</v>
      </c>
      <c r="B4" s="65" t="s">
        <v>199</v>
      </c>
      <c r="C4" s="65" t="s">
        <v>200</v>
      </c>
      <c r="D4" s="66" t="s">
        <v>17</v>
      </c>
      <c r="E4" s="66" t="s">
        <v>17</v>
      </c>
      <c r="F4" s="66" t="s">
        <v>17</v>
      </c>
      <c r="G4" s="66" t="s">
        <v>17</v>
      </c>
    </row>
    <row r="5" spans="1:8" x14ac:dyDescent="0.2">
      <c r="A5" s="65" t="s">
        <v>201</v>
      </c>
      <c r="B5" s="65" t="s">
        <v>202</v>
      </c>
      <c r="C5" s="65" t="s">
        <v>37</v>
      </c>
      <c r="D5" s="66">
        <v>150</v>
      </c>
      <c r="E5" s="66">
        <v>150</v>
      </c>
      <c r="F5" s="66">
        <v>150</v>
      </c>
      <c r="G5" s="66">
        <v>120</v>
      </c>
    </row>
    <row r="6" spans="1:8" x14ac:dyDescent="0.2">
      <c r="A6" s="65" t="s">
        <v>203</v>
      </c>
      <c r="B6" s="65" t="s">
        <v>204</v>
      </c>
      <c r="C6" s="65" t="s">
        <v>205</v>
      </c>
      <c r="D6" s="66" t="s">
        <v>23</v>
      </c>
      <c r="E6" s="66" t="s">
        <v>23</v>
      </c>
      <c r="F6" s="66" t="s">
        <v>18</v>
      </c>
      <c r="G6" s="66" t="s">
        <v>28</v>
      </c>
    </row>
    <row r="7" spans="1:8" x14ac:dyDescent="0.2">
      <c r="A7" s="65" t="s">
        <v>206</v>
      </c>
      <c r="B7" s="65" t="s">
        <v>207</v>
      </c>
      <c r="C7" s="65" t="s">
        <v>37</v>
      </c>
      <c r="D7" s="66">
        <v>40</v>
      </c>
      <c r="E7" s="66">
        <v>50</v>
      </c>
      <c r="F7" s="66">
        <v>80</v>
      </c>
      <c r="G7" s="66">
        <v>40</v>
      </c>
    </row>
    <row r="8" spans="1:8" x14ac:dyDescent="0.2">
      <c r="A8" s="65" t="s">
        <v>208</v>
      </c>
      <c r="B8" s="65" t="s">
        <v>209</v>
      </c>
      <c r="C8" s="65" t="s">
        <v>205</v>
      </c>
      <c r="D8" s="66" t="s">
        <v>21</v>
      </c>
      <c r="E8" s="66" t="s">
        <v>18</v>
      </c>
      <c r="F8" s="66" t="s">
        <v>23</v>
      </c>
      <c r="G8" s="66" t="s">
        <v>23</v>
      </c>
    </row>
    <row r="9" spans="1:8" x14ac:dyDescent="0.2">
      <c r="A9" s="65" t="s">
        <v>210</v>
      </c>
      <c r="B9" s="65" t="s">
        <v>211</v>
      </c>
      <c r="C9" s="65" t="s">
        <v>37</v>
      </c>
      <c r="D9" s="66">
        <v>70</v>
      </c>
      <c r="E9" s="66">
        <v>50</v>
      </c>
      <c r="F9" s="66">
        <v>60</v>
      </c>
      <c r="G9" s="66">
        <v>40</v>
      </c>
    </row>
    <row r="10" spans="1:8" x14ac:dyDescent="0.2">
      <c r="A10" s="65" t="s">
        <v>212</v>
      </c>
      <c r="B10" s="65" t="s">
        <v>213</v>
      </c>
      <c r="C10" s="65" t="s">
        <v>205</v>
      </c>
      <c r="D10" s="66" t="s">
        <v>33</v>
      </c>
      <c r="E10" s="66" t="s">
        <v>32</v>
      </c>
      <c r="F10" s="66" t="s">
        <v>236</v>
      </c>
      <c r="G10" s="66" t="s">
        <v>33</v>
      </c>
    </row>
    <row r="11" spans="1:8" x14ac:dyDescent="0.2">
      <c r="A11" s="65" t="s">
        <v>214</v>
      </c>
      <c r="B11" s="65" t="s">
        <v>215</v>
      </c>
      <c r="C11" s="65" t="s">
        <v>37</v>
      </c>
      <c r="D11" s="66">
        <v>20</v>
      </c>
      <c r="E11" s="66">
        <v>20</v>
      </c>
      <c r="F11" s="66">
        <v>20</v>
      </c>
      <c r="G11" s="66">
        <v>20</v>
      </c>
    </row>
    <row r="12" spans="1:8" ht="15.75" x14ac:dyDescent="0.25">
      <c r="A12" s="67" t="s">
        <v>109</v>
      </c>
      <c r="B12" s="68"/>
      <c r="C12" s="68"/>
      <c r="D12" s="68"/>
      <c r="E12" s="68"/>
      <c r="F12" s="68"/>
      <c r="G12" s="68"/>
    </row>
    <row r="13" spans="1:8" x14ac:dyDescent="0.2">
      <c r="A13" s="65" t="s">
        <v>148</v>
      </c>
      <c r="B13" s="65" t="s">
        <v>216</v>
      </c>
      <c r="C13" s="65" t="s">
        <v>152</v>
      </c>
      <c r="D13" s="69">
        <f>VLOOKUP(T_1,Flizers,2,FALSE)*R_1+VLOOKUP(T_2,Flizers,2,FALSE)*R_2+VLOOKUP(T_3,Flizers,2,FALSE)*R_3+VLOOKUP(T_4,Flizers,2,FALSE)*R_4</f>
        <v>149.79999999999998</v>
      </c>
      <c r="E13" s="69">
        <f>VLOOKUP(T_1,Flizers,2,FALSE)*R_1+VLOOKUP(T_2,Flizers,2,FALSE)*R_2+VLOOKUP(T_3,Flizers,2,FALSE)*R_3+VLOOKUP(T_4,Flizers,2,FALSE)*R_4</f>
        <v>155</v>
      </c>
      <c r="F13" s="69">
        <f>VLOOKUP(T_1,Flizers,2,FALSE)*R_1+VLOOKUP(T_2,Flizers,2,FALSE)*R_2+VLOOKUP(T_3,Flizers,2,FALSE)*R_3+VLOOKUP(T_4,Flizers,2,FALSE)*R_4</f>
        <v>170.6</v>
      </c>
      <c r="G13" s="69">
        <f>VLOOKUP(T_1,Flizers,2,FALSE)*R_1+VLOOKUP(T_2,Flizers,2,FALSE)*R_2+VLOOKUP(T_3,Flizers,2,FALSE)*R_3+VLOOKUP(T_4,Flizers,2,FALSE)*R_4</f>
        <v>105.6</v>
      </c>
      <c r="H13" s="69" t="s">
        <v>217</v>
      </c>
    </row>
    <row r="14" spans="1:8" x14ac:dyDescent="0.2">
      <c r="A14" s="65" t="s">
        <v>104</v>
      </c>
      <c r="B14" s="65" t="s">
        <v>218</v>
      </c>
      <c r="C14" s="65" t="s">
        <v>219</v>
      </c>
      <c r="D14" s="69">
        <f>VLOOKUP(T_1,Flizers,3,FALSE)*R_1+VLOOKUP(T_2,Flizers,3,FALSE)*R_2+VLOOKUP(T_3,Flizers,3,FALSE)*R_3+VLOOKUP(T_4,Flizers,3,FALSE)*R_4</f>
        <v>18.400000000000002</v>
      </c>
      <c r="E14" s="69">
        <f>VLOOKUP(T_1,Flizers,3,FALSE)*R_1+VLOOKUP(T_2,Flizers,3,FALSE)*R_2+VLOOKUP(T_3,Flizers,3,FALSE)*R_3+VLOOKUP(T_4,Flizers,3,FALSE)*R_4</f>
        <v>23</v>
      </c>
      <c r="F14" s="69">
        <f>VLOOKUP(T_1,Flizers,3,FALSE)*R_1+VLOOKUP(T_2,Flizers,3,FALSE)*R_2+VLOOKUP(T_3,Flizers,3,FALSE)*R_3+VLOOKUP(T_4,Flizers,3,FALSE)*R_4</f>
        <v>27.6</v>
      </c>
      <c r="G14" s="69">
        <f>VLOOKUP(T_1,Flizers,3,FALSE)*R_1+VLOOKUP(T_2,Flizers,3,FALSE)*R_2+VLOOKUP(T_3,Flizers,3,FALSE)*R_3+VLOOKUP(T_4,Flizers,3,FALSE)*R_4</f>
        <v>18.400000000000002</v>
      </c>
      <c r="H14" s="69" t="s">
        <v>220</v>
      </c>
    </row>
    <row r="15" spans="1:8" x14ac:dyDescent="0.2">
      <c r="A15" s="65" t="s">
        <v>103</v>
      </c>
      <c r="B15" s="65" t="s">
        <v>221</v>
      </c>
      <c r="C15" s="65" t="s">
        <v>222</v>
      </c>
      <c r="D15" s="69">
        <f>VLOOKUP(T_1,Flizers,4,FALSE)*R_1+VLOOKUP(T_2,Flizers,4,FALSE)*R_2+VLOOKUP(T_3,Flizers,4,FALSE)*R_3+VLOOKUP(T_4,Flizers,4,FALSE)*R_4</f>
        <v>0</v>
      </c>
      <c r="E15" s="69">
        <f>VLOOKUP(T_1,Flizers,4,FALSE)*R_1+VLOOKUP(T_2,Flizers,4,FALSE)*R_2+VLOOKUP(T_3,Flizers,4,FALSE)*R_3+VLOOKUP(T_4,Flizers,4,FALSE)*R_4</f>
        <v>0</v>
      </c>
      <c r="F15" s="69">
        <f>VLOOKUP(T_1,Flizers,4,FALSE)*R_1+VLOOKUP(T_2,Flizers,4,FALSE)*R_2+VLOOKUP(T_3,Flizers,4,FALSE)*R_3+VLOOKUP(T_4,Flizers,4,FALSE)*R_4</f>
        <v>4.4000000000000004</v>
      </c>
      <c r="G15" s="69">
        <f>VLOOKUP(T_1,Flizers,4,FALSE)*R_1+VLOOKUP(T_2,Flizers,4,FALSE)*R_2+VLOOKUP(T_3,Flizers,4,FALSE)*R_3+VLOOKUP(T_4,Flizers,4,FALSE)*R_4</f>
        <v>24</v>
      </c>
      <c r="H15" s="69" t="s">
        <v>223</v>
      </c>
    </row>
    <row r="16" spans="1:8" x14ac:dyDescent="0.2">
      <c r="A16" s="65" t="s">
        <v>224</v>
      </c>
      <c r="B16" s="65" t="s">
        <v>225</v>
      </c>
      <c r="C16" s="65" t="s">
        <v>226</v>
      </c>
      <c r="D16" s="69">
        <f>VLOOKUP(T_1,Flizers,5,FALSE)*R_1+VLOOKUP(T_2,Flizers,5,FALSE)*R_2+VLOOKUP(T_3,Flizers,5,FALSE)*R_3+VLOOKUP(T_4,Flizers,5,FALSE)*R_4</f>
        <v>3.4000000000000004</v>
      </c>
      <c r="E16" s="69">
        <f>VLOOKUP(T_1,Flizers,5,FALSE)*R_1+VLOOKUP(T_2,Flizers,5,FALSE)*R_2+VLOOKUP(T_3,Flizers,5,FALSE)*R_3+VLOOKUP(T_4,Flizers,5,FALSE)*R_4</f>
        <v>3.4000000000000004</v>
      </c>
      <c r="F16" s="69">
        <f>VLOOKUP(T_1,Flizers,5,FALSE)*R_1+VLOOKUP(T_2,Flizers,5,FALSE)*R_2+VLOOKUP(T_3,Flizers,5,FALSE)*R_3+VLOOKUP(T_4,Flizers,5,FALSE)*R_4</f>
        <v>4.2</v>
      </c>
      <c r="G16" s="69">
        <f>VLOOKUP(T_1,Flizers,5,FALSE)*R_1+VLOOKUP(T_2,Flizers,5,FALSE)*R_2+VLOOKUP(T_3,Flizers,5,FALSE)*R_3+VLOOKUP(T_4,Flizers,5,FALSE)*R_4</f>
        <v>3.4000000000000004</v>
      </c>
      <c r="H16" s="69" t="s">
        <v>227</v>
      </c>
    </row>
    <row r="17" spans="1:8" x14ac:dyDescent="0.2">
      <c r="A17" s="65" t="s">
        <v>228</v>
      </c>
      <c r="B17" s="65" t="s">
        <v>229</v>
      </c>
      <c r="C17" s="65" t="s">
        <v>230</v>
      </c>
      <c r="D17" s="69">
        <f>(R_1*VLOOKUP(T_1,Flizers,6,FALSE)+R_2*VLOOKUP(T_2,Flizers,6,FALSE)+R_3*VLOOKUP(T_3,Flizers,6,FALSE)+R_4*VLOOKUP(T_4,Flizers,6,FALSE))/2000</f>
        <v>48.78</v>
      </c>
      <c r="E17" s="69">
        <f>(R_1*VLOOKUP(T_1,Flizers,6,FALSE)+R_2*VLOOKUP(T_2,Flizers,6,FALSE)+R_3*VLOOKUP(T_3,Flizers,6,FALSE)+R_4*VLOOKUP(T_4,Flizers,6,FALSE))/2000</f>
        <v>52.37</v>
      </c>
      <c r="F17" s="69">
        <f>(R_1*VLOOKUP(T_1,Flizers,6,FALSE)+R_2*VLOOKUP(T_2,Flizers,6,FALSE)+R_3*VLOOKUP(T_3,Flizers,6,FALSE)+R_4*VLOOKUP(T_4,Flizers,6,FALSE))/2000</f>
        <v>63.65</v>
      </c>
      <c r="G17" s="69">
        <f>(R_1*VLOOKUP(T_1,Flizers,6,FALSE)+R_2*VLOOKUP(T_2,Flizers,6,FALSE)+R_3*VLOOKUP(T_3,Flizers,6,FALSE)+R_4*VLOOKUP(T_4,Flizers,6,FALSE))/2000</f>
        <v>41.58</v>
      </c>
      <c r="H17" s="69" t="s">
        <v>231</v>
      </c>
    </row>
    <row r="18" spans="1:8" x14ac:dyDescent="0.2">
      <c r="D18" s="70"/>
      <c r="E18" s="70"/>
      <c r="F18" s="70"/>
      <c r="G18" s="70"/>
      <c r="H18" s="71"/>
    </row>
    <row r="19" spans="1:8" x14ac:dyDescent="0.2">
      <c r="G19" s="77"/>
    </row>
    <row r="20" spans="1:8" x14ac:dyDescent="0.2">
      <c r="A20" s="72" t="s">
        <v>10</v>
      </c>
      <c r="B20" s="72"/>
      <c r="C20" s="72"/>
      <c r="D20" s="72"/>
      <c r="E20" s="72"/>
      <c r="F20" s="72"/>
      <c r="G20" s="77"/>
    </row>
    <row r="21" spans="1:8" ht="15.75" x14ac:dyDescent="0.25">
      <c r="A21" s="80" t="s">
        <v>11</v>
      </c>
      <c r="B21" s="80" t="s">
        <v>12</v>
      </c>
      <c r="C21" s="80" t="s">
        <v>13</v>
      </c>
      <c r="D21" s="80" t="s">
        <v>14</v>
      </c>
      <c r="E21" s="80" t="s">
        <v>15</v>
      </c>
      <c r="F21" s="80" t="s">
        <v>16</v>
      </c>
      <c r="G21" s="79" t="s">
        <v>193</v>
      </c>
    </row>
    <row r="22" spans="1:8" x14ac:dyDescent="0.2">
      <c r="A22" s="73" t="s">
        <v>17</v>
      </c>
      <c r="B22" s="73">
        <v>0.82</v>
      </c>
      <c r="C22" s="73">
        <v>0</v>
      </c>
      <c r="D22" s="73">
        <v>0</v>
      </c>
      <c r="E22" s="73">
        <v>0</v>
      </c>
      <c r="F22" s="74">
        <v>430</v>
      </c>
      <c r="G22" s="78">
        <f>IF(B22&gt;0,F22/(B22*2000),"")</f>
        <v>0.26219512195121952</v>
      </c>
    </row>
    <row r="23" spans="1:8" x14ac:dyDescent="0.2">
      <c r="A23" s="73" t="s">
        <v>18</v>
      </c>
      <c r="B23" s="73">
        <v>0.46</v>
      </c>
      <c r="C23" s="73">
        <v>0</v>
      </c>
      <c r="D23" s="73">
        <v>0</v>
      </c>
      <c r="E23" s="73">
        <v>0</v>
      </c>
      <c r="F23" s="74">
        <v>350</v>
      </c>
      <c r="G23" s="78">
        <f t="shared" ref="G23:G39" si="0">IF(B23&gt;0,F23/(B23*2000),"")</f>
        <v>0.38043478260869568</v>
      </c>
    </row>
    <row r="24" spans="1:8" x14ac:dyDescent="0.2">
      <c r="A24" s="73" t="s">
        <v>19</v>
      </c>
      <c r="B24" s="73">
        <v>0.33500000000000002</v>
      </c>
      <c r="C24" s="73">
        <v>0</v>
      </c>
      <c r="D24" s="73">
        <v>0</v>
      </c>
      <c r="E24" s="73">
        <v>0</v>
      </c>
      <c r="F24" s="74">
        <v>250</v>
      </c>
      <c r="G24" s="78">
        <f t="shared" si="0"/>
        <v>0.37313432835820898</v>
      </c>
    </row>
    <row r="25" spans="1:8" x14ac:dyDescent="0.2">
      <c r="A25" s="73" t="s">
        <v>20</v>
      </c>
      <c r="B25" s="73">
        <v>0.32</v>
      </c>
      <c r="C25" s="73">
        <v>0</v>
      </c>
      <c r="D25" s="73">
        <v>0</v>
      </c>
      <c r="E25" s="73">
        <v>0</v>
      </c>
      <c r="F25" s="74">
        <v>245</v>
      </c>
      <c r="G25" s="78">
        <f t="shared" si="0"/>
        <v>0.3828125</v>
      </c>
    </row>
    <row r="26" spans="1:8" x14ac:dyDescent="0.2">
      <c r="A26" s="73" t="s">
        <v>21</v>
      </c>
      <c r="B26" s="73">
        <v>0.28000000000000003</v>
      </c>
      <c r="C26" s="73">
        <v>0</v>
      </c>
      <c r="D26" s="73">
        <v>0</v>
      </c>
      <c r="E26" s="73">
        <v>0</v>
      </c>
      <c r="F26" s="74">
        <v>210</v>
      </c>
      <c r="G26" s="78">
        <f t="shared" si="0"/>
        <v>0.375</v>
      </c>
    </row>
    <row r="27" spans="1:8" x14ac:dyDescent="0.2">
      <c r="A27" s="73" t="s">
        <v>22</v>
      </c>
      <c r="B27" s="73">
        <v>0.21</v>
      </c>
      <c r="C27" s="73">
        <v>0</v>
      </c>
      <c r="D27" s="73">
        <v>0</v>
      </c>
      <c r="E27" s="73">
        <v>0</v>
      </c>
      <c r="F27" s="74">
        <v>150</v>
      </c>
      <c r="G27" s="78">
        <f t="shared" si="0"/>
        <v>0.35714285714285715</v>
      </c>
    </row>
    <row r="28" spans="1:8" x14ac:dyDescent="0.2">
      <c r="A28" s="73" t="s">
        <v>23</v>
      </c>
      <c r="B28" s="73">
        <v>0.18</v>
      </c>
      <c r="C28" s="73">
        <v>0.46</v>
      </c>
      <c r="D28" s="73">
        <v>0</v>
      </c>
      <c r="E28" s="73">
        <v>0</v>
      </c>
      <c r="F28" s="74">
        <v>430</v>
      </c>
      <c r="G28" s="78">
        <f t="shared" si="0"/>
        <v>1.1944444444444444</v>
      </c>
    </row>
    <row r="29" spans="1:8" x14ac:dyDescent="0.2">
      <c r="A29" s="73" t="s">
        <v>24</v>
      </c>
      <c r="B29" s="73">
        <v>0.16</v>
      </c>
      <c r="C29" s="73">
        <v>0.2</v>
      </c>
      <c r="D29" s="73">
        <v>0</v>
      </c>
      <c r="E29" s="73">
        <v>0</v>
      </c>
      <c r="F29" s="74">
        <v>300</v>
      </c>
      <c r="G29" s="78">
        <f t="shared" si="0"/>
        <v>0.9375</v>
      </c>
    </row>
    <row r="30" spans="1:8" x14ac:dyDescent="0.2">
      <c r="A30" s="73" t="s">
        <v>25</v>
      </c>
      <c r="B30" s="73">
        <v>0.11</v>
      </c>
      <c r="C30" s="73">
        <v>0.52</v>
      </c>
      <c r="D30" s="73">
        <v>0</v>
      </c>
      <c r="E30" s="73">
        <v>0</v>
      </c>
      <c r="F30" s="74">
        <v>400</v>
      </c>
      <c r="G30" s="78">
        <f t="shared" si="0"/>
        <v>1.8181818181818181</v>
      </c>
    </row>
    <row r="31" spans="1:8" x14ac:dyDescent="0.2">
      <c r="A31" s="73" t="s">
        <v>26</v>
      </c>
      <c r="B31" s="73">
        <v>0.1</v>
      </c>
      <c r="C31" s="73">
        <v>0.34</v>
      </c>
      <c r="D31" s="73">
        <v>0</v>
      </c>
      <c r="E31" s="73">
        <v>0</v>
      </c>
      <c r="F31" s="74">
        <v>380</v>
      </c>
      <c r="G31" s="78">
        <f t="shared" si="0"/>
        <v>1.9</v>
      </c>
    </row>
    <row r="32" spans="1:8" x14ac:dyDescent="0.2">
      <c r="A32" s="73" t="s">
        <v>27</v>
      </c>
      <c r="B32" s="73">
        <v>0</v>
      </c>
      <c r="C32" s="73">
        <v>0.46</v>
      </c>
      <c r="D32" s="73">
        <v>0</v>
      </c>
      <c r="E32" s="73">
        <v>0</v>
      </c>
      <c r="F32" s="74">
        <v>410</v>
      </c>
      <c r="G32" s="78" t="str">
        <f t="shared" si="0"/>
        <v/>
      </c>
    </row>
    <row r="33" spans="1:7" x14ac:dyDescent="0.2">
      <c r="A33" s="73" t="s">
        <v>28</v>
      </c>
      <c r="B33" s="73">
        <v>0</v>
      </c>
      <c r="C33" s="73">
        <v>0</v>
      </c>
      <c r="D33" s="73">
        <v>0.6</v>
      </c>
      <c r="E33" s="73">
        <v>0</v>
      </c>
      <c r="F33" s="74">
        <v>330</v>
      </c>
      <c r="G33" s="78" t="str">
        <f t="shared" si="0"/>
        <v/>
      </c>
    </row>
    <row r="34" spans="1:7" x14ac:dyDescent="0.2">
      <c r="A34" s="75" t="s">
        <v>29</v>
      </c>
      <c r="B34" s="73">
        <v>0.09</v>
      </c>
      <c r="C34" s="73">
        <v>0.18</v>
      </c>
      <c r="D34" s="73">
        <v>0.09</v>
      </c>
      <c r="E34" s="73">
        <v>0</v>
      </c>
      <c r="F34" s="74">
        <v>290</v>
      </c>
      <c r="G34" s="78">
        <f t="shared" si="0"/>
        <v>1.6111111111111112</v>
      </c>
    </row>
    <row r="35" spans="1:7" x14ac:dyDescent="0.2">
      <c r="A35" s="76" t="s">
        <v>30</v>
      </c>
      <c r="B35" s="73">
        <v>7.0000000000000007E-2</v>
      </c>
      <c r="C35" s="73">
        <v>0.21</v>
      </c>
      <c r="D35" s="73">
        <v>7.0000000000000007E-2</v>
      </c>
      <c r="E35" s="73">
        <v>0</v>
      </c>
      <c r="F35" s="74">
        <v>290</v>
      </c>
      <c r="G35" s="78">
        <f t="shared" si="0"/>
        <v>2.0714285714285716</v>
      </c>
    </row>
    <row r="36" spans="1:7" x14ac:dyDescent="0.2">
      <c r="A36" s="73" t="s">
        <v>31</v>
      </c>
      <c r="B36" s="73">
        <v>12</v>
      </c>
      <c r="C36" s="73">
        <v>0</v>
      </c>
      <c r="D36" s="73">
        <v>0</v>
      </c>
      <c r="E36" s="73">
        <v>0.26</v>
      </c>
      <c r="F36" s="74">
        <v>400</v>
      </c>
      <c r="G36" s="78">
        <f t="shared" si="0"/>
        <v>1.6666666666666666E-2</v>
      </c>
    </row>
    <row r="37" spans="1:7" x14ac:dyDescent="0.2">
      <c r="A37" s="73" t="s">
        <v>32</v>
      </c>
      <c r="B37" s="73">
        <v>0</v>
      </c>
      <c r="C37" s="73">
        <v>0</v>
      </c>
      <c r="D37" s="73">
        <v>0</v>
      </c>
      <c r="E37" s="73">
        <v>0.17</v>
      </c>
      <c r="F37" s="74">
        <v>62</v>
      </c>
      <c r="G37" s="78" t="str">
        <f t="shared" si="0"/>
        <v/>
      </c>
    </row>
    <row r="38" spans="1:7" x14ac:dyDescent="0.2">
      <c r="A38" s="73" t="s">
        <v>33</v>
      </c>
      <c r="B38" s="73">
        <v>0</v>
      </c>
      <c r="C38" s="73">
        <v>0</v>
      </c>
      <c r="D38" s="73">
        <v>0</v>
      </c>
      <c r="E38" s="73">
        <v>0.17</v>
      </c>
      <c r="F38" s="74">
        <v>58</v>
      </c>
      <c r="G38" s="78" t="str">
        <f t="shared" si="0"/>
        <v/>
      </c>
    </row>
    <row r="39" spans="1:7" x14ac:dyDescent="0.2">
      <c r="A39" s="73" t="s">
        <v>236</v>
      </c>
      <c r="B39" s="73">
        <v>0</v>
      </c>
      <c r="C39" s="73">
        <v>0</v>
      </c>
      <c r="D39" s="73">
        <v>0.22</v>
      </c>
      <c r="E39" s="73">
        <v>0.21</v>
      </c>
      <c r="F39" s="74">
        <v>450</v>
      </c>
      <c r="G39" s="78" t="str">
        <f t="shared" si="0"/>
        <v/>
      </c>
    </row>
  </sheetData>
  <mergeCells count="1">
    <mergeCell ref="A1:G1"/>
  </mergeCells>
  <conditionalFormatting sqref="H13:H17 A13:A17 A4:A11">
    <cfRule type="expression" dxfId="0" priority="1">
      <formula>IF($H$3,0,1)</formula>
    </cfRule>
  </conditionalFormatting>
  <dataValidations count="1">
    <dataValidation type="list" allowBlank="1" showInputMessage="1" showErrorMessage="1" sqref="D4:G4 D6:G6 D8:G8 D10:G10" xr:uid="{E9E467F5-4D29-476B-BA25-61A201D65CBE}">
      <formula1>Ftypes</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7</xdr:col>
                    <xdr:colOff>628650</xdr:colOff>
                    <xdr:row>2</xdr:row>
                    <xdr:rowOff>104775</xdr:rowOff>
                  </from>
                  <to>
                    <xdr:col>7</xdr:col>
                    <xdr:colOff>2381250</xdr:colOff>
                    <xdr:row>5</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25E1D-CC38-41CE-B125-2B8A5F95536B}">
  <dimension ref="A1:I53"/>
  <sheetViews>
    <sheetView zoomScaleNormal="100" workbookViewId="0">
      <selection activeCell="B4" sqref="B4"/>
    </sheetView>
  </sheetViews>
  <sheetFormatPr defaultRowHeight="15" x14ac:dyDescent="0.25"/>
  <sheetData>
    <row r="1" spans="1:5" x14ac:dyDescent="0.25">
      <c r="B1" t="s">
        <v>150</v>
      </c>
    </row>
    <row r="2" spans="1:5" x14ac:dyDescent="0.25">
      <c r="B2" t="s">
        <v>120</v>
      </c>
      <c r="C2">
        <v>6</v>
      </c>
      <c r="D2">
        <v>6.5</v>
      </c>
      <c r="E2">
        <v>6.8</v>
      </c>
    </row>
    <row r="3" spans="1:5" x14ac:dyDescent="0.25">
      <c r="B3">
        <v>69</v>
      </c>
      <c r="C3" s="1">
        <f>54.2-0.78*B3</f>
        <v>0.38000000000000256</v>
      </c>
      <c r="D3" s="1">
        <f>65.5-0.94*B3</f>
        <v>0.64000000000000057</v>
      </c>
      <c r="E3" s="1">
        <f>71.2-1.02*B3</f>
        <v>0.82000000000000739</v>
      </c>
    </row>
    <row r="4" spans="1:5" x14ac:dyDescent="0.25">
      <c r="B4">
        <v>67</v>
      </c>
      <c r="C4" s="1">
        <f t="shared" ref="C4:C7" si="0">54.2-0.78*B4</f>
        <v>1.9399999999999977</v>
      </c>
      <c r="D4" s="1">
        <f t="shared" ref="D4:D7" si="1">65.5-0.94*B4</f>
        <v>2.5200000000000031</v>
      </c>
      <c r="E4" s="1">
        <f t="shared" ref="E4:E7" si="2">71.2-1.02*B4</f>
        <v>2.8599999999999994</v>
      </c>
    </row>
    <row r="5" spans="1:5" x14ac:dyDescent="0.25">
      <c r="B5">
        <v>65</v>
      </c>
      <c r="C5" s="1">
        <f t="shared" si="0"/>
        <v>3.5</v>
      </c>
      <c r="D5" s="1">
        <f t="shared" si="1"/>
        <v>4.4000000000000057</v>
      </c>
      <c r="E5" s="1">
        <f t="shared" si="2"/>
        <v>4.9000000000000057</v>
      </c>
    </row>
    <row r="6" spans="1:5" x14ac:dyDescent="0.25">
      <c r="B6">
        <v>63</v>
      </c>
      <c r="C6" s="1">
        <f t="shared" si="0"/>
        <v>5.0600000000000023</v>
      </c>
      <c r="D6" s="1">
        <f t="shared" si="1"/>
        <v>6.2800000000000011</v>
      </c>
      <c r="E6" s="1">
        <f t="shared" si="2"/>
        <v>6.9399999999999977</v>
      </c>
    </row>
    <row r="7" spans="1:5" x14ac:dyDescent="0.25">
      <c r="B7">
        <v>61</v>
      </c>
      <c r="C7" s="1">
        <f t="shared" si="0"/>
        <v>6.6200000000000045</v>
      </c>
      <c r="D7" s="1">
        <f t="shared" si="1"/>
        <v>8.1600000000000037</v>
      </c>
      <c r="E7" s="1">
        <f t="shared" si="2"/>
        <v>8.980000000000004</v>
      </c>
    </row>
    <row r="8" spans="1:5" x14ac:dyDescent="0.25">
      <c r="C8" s="1"/>
      <c r="D8" s="1"/>
      <c r="E8" s="1"/>
    </row>
    <row r="9" spans="1:5" x14ac:dyDescent="0.25">
      <c r="A9" t="s">
        <v>121</v>
      </c>
      <c r="B9" t="s">
        <v>147</v>
      </c>
      <c r="C9" t="s">
        <v>188</v>
      </c>
      <c r="D9" s="12" t="s">
        <v>122</v>
      </c>
      <c r="E9" s="12" t="s">
        <v>149</v>
      </c>
    </row>
    <row r="10" spans="1:5" x14ac:dyDescent="0.25">
      <c r="A10">
        <v>6.9</v>
      </c>
      <c r="B10">
        <f t="shared" ref="B10:B33" si="3">C10*A10</f>
        <v>41.400000000000006</v>
      </c>
      <c r="C10">
        <v>6</v>
      </c>
      <c r="D10" s="1">
        <f t="shared" ref="D10:D17" si="4">54.2-0.78*A10*10</f>
        <v>0.37999999999999545</v>
      </c>
      <c r="E10" s="1">
        <f t="shared" ref="E10:E33" si="5">-74+10.3*A10-3.02*B10+21.4*C10</f>
        <v>0.44199999999996464</v>
      </c>
    </row>
    <row r="11" spans="1:5" x14ac:dyDescent="0.25">
      <c r="A11">
        <f>A10-0.2</f>
        <v>6.7</v>
      </c>
      <c r="B11">
        <f t="shared" si="3"/>
        <v>40.200000000000003</v>
      </c>
      <c r="C11">
        <v>6</v>
      </c>
      <c r="D11" s="1">
        <f t="shared" si="4"/>
        <v>1.9400000000000048</v>
      </c>
      <c r="E11" s="1">
        <f t="shared" si="5"/>
        <v>2.0059999999999718</v>
      </c>
    </row>
    <row r="12" spans="1:5" x14ac:dyDescent="0.25">
      <c r="A12">
        <f t="shared" ref="A12:A17" si="6">A11-0.2</f>
        <v>6.5</v>
      </c>
      <c r="B12">
        <f t="shared" si="3"/>
        <v>39</v>
      </c>
      <c r="C12">
        <v>6</v>
      </c>
      <c r="D12" s="1">
        <f t="shared" si="4"/>
        <v>3.5</v>
      </c>
      <c r="E12" s="1">
        <f t="shared" si="5"/>
        <v>3.569999999999979</v>
      </c>
    </row>
    <row r="13" spans="1:5" x14ac:dyDescent="0.25">
      <c r="A13">
        <f t="shared" si="6"/>
        <v>6.3</v>
      </c>
      <c r="B13">
        <f t="shared" si="3"/>
        <v>37.799999999999997</v>
      </c>
      <c r="C13">
        <v>6</v>
      </c>
      <c r="D13" s="1">
        <f t="shared" si="4"/>
        <v>5.0600000000000023</v>
      </c>
      <c r="E13" s="1">
        <f t="shared" si="5"/>
        <v>5.1339999999999861</v>
      </c>
    </row>
    <row r="14" spans="1:5" x14ac:dyDescent="0.25">
      <c r="A14">
        <f t="shared" si="6"/>
        <v>6.1</v>
      </c>
      <c r="B14">
        <f t="shared" si="3"/>
        <v>36.599999999999994</v>
      </c>
      <c r="C14">
        <v>6</v>
      </c>
      <c r="D14" s="1">
        <f t="shared" si="4"/>
        <v>6.6200000000000045</v>
      </c>
      <c r="E14" s="1">
        <f t="shared" si="5"/>
        <v>6.6979999999999933</v>
      </c>
    </row>
    <row r="15" spans="1:5" x14ac:dyDescent="0.25">
      <c r="A15">
        <f t="shared" si="6"/>
        <v>5.8999999999999995</v>
      </c>
      <c r="B15">
        <f t="shared" si="3"/>
        <v>35.4</v>
      </c>
      <c r="C15">
        <v>6</v>
      </c>
      <c r="D15" s="1">
        <f t="shared" si="4"/>
        <v>8.1800000000000068</v>
      </c>
      <c r="E15" s="1">
        <f t="shared" si="5"/>
        <v>8.261999999999972</v>
      </c>
    </row>
    <row r="16" spans="1:5" x14ac:dyDescent="0.25">
      <c r="A16">
        <f t="shared" si="6"/>
        <v>5.6999999999999993</v>
      </c>
      <c r="B16">
        <f t="shared" si="3"/>
        <v>34.199999999999996</v>
      </c>
      <c r="C16">
        <v>6</v>
      </c>
      <c r="D16" s="1">
        <f t="shared" si="4"/>
        <v>9.7400000000000091</v>
      </c>
      <c r="E16" s="1">
        <f t="shared" si="5"/>
        <v>9.8259999999999792</v>
      </c>
    </row>
    <row r="17" spans="1:5" x14ac:dyDescent="0.25">
      <c r="A17">
        <f t="shared" si="6"/>
        <v>5.4999999999999991</v>
      </c>
      <c r="B17">
        <f t="shared" si="3"/>
        <v>32.999999999999993</v>
      </c>
      <c r="C17">
        <v>6</v>
      </c>
      <c r="D17" s="1">
        <f t="shared" si="4"/>
        <v>11.300000000000011</v>
      </c>
      <c r="E17" s="1">
        <f t="shared" si="5"/>
        <v>11.389999999999986</v>
      </c>
    </row>
    <row r="18" spans="1:5" x14ac:dyDescent="0.25">
      <c r="A18">
        <v>6.9</v>
      </c>
      <c r="B18">
        <f t="shared" si="3"/>
        <v>44.85</v>
      </c>
      <c r="C18">
        <v>6.5</v>
      </c>
      <c r="D18" s="1">
        <f t="shared" ref="D18:D25" si="7">65.5-0.94*A18*10</f>
        <v>0.64000000000000057</v>
      </c>
      <c r="E18" s="1">
        <f t="shared" si="5"/>
        <v>0.72299999999998477</v>
      </c>
    </row>
    <row r="19" spans="1:5" x14ac:dyDescent="0.25">
      <c r="A19">
        <f>A18-0.2</f>
        <v>6.7</v>
      </c>
      <c r="B19">
        <f t="shared" si="3"/>
        <v>43.550000000000004</v>
      </c>
      <c r="C19">
        <v>6.5</v>
      </c>
      <c r="D19" s="1">
        <f t="shared" si="7"/>
        <v>2.519999999999996</v>
      </c>
      <c r="E19" s="1">
        <f t="shared" si="5"/>
        <v>2.5889999999999702</v>
      </c>
    </row>
    <row r="20" spans="1:5" x14ac:dyDescent="0.25">
      <c r="A20">
        <f t="shared" ref="A20:A25" si="8">A19-0.2</f>
        <v>6.5</v>
      </c>
      <c r="B20">
        <f t="shared" si="3"/>
        <v>42.25</v>
      </c>
      <c r="C20">
        <v>6.5</v>
      </c>
      <c r="D20" s="1">
        <f t="shared" si="7"/>
        <v>4.4000000000000057</v>
      </c>
      <c r="E20" s="1">
        <f t="shared" si="5"/>
        <v>4.4550000000000125</v>
      </c>
    </row>
    <row r="21" spans="1:5" x14ac:dyDescent="0.25">
      <c r="A21">
        <f t="shared" si="8"/>
        <v>6.3</v>
      </c>
      <c r="B21">
        <f t="shared" si="3"/>
        <v>40.949999999999996</v>
      </c>
      <c r="C21">
        <v>6.5</v>
      </c>
      <c r="D21" s="1">
        <f t="shared" si="7"/>
        <v>6.2800000000000011</v>
      </c>
      <c r="E21" s="1">
        <f t="shared" si="5"/>
        <v>6.320999999999998</v>
      </c>
    </row>
    <row r="22" spans="1:5" x14ac:dyDescent="0.25">
      <c r="A22">
        <f t="shared" si="8"/>
        <v>6.1</v>
      </c>
      <c r="B22">
        <f t="shared" si="3"/>
        <v>39.65</v>
      </c>
      <c r="C22">
        <v>6.5</v>
      </c>
      <c r="D22" s="1">
        <f t="shared" si="7"/>
        <v>8.1600000000000108</v>
      </c>
      <c r="E22" s="1">
        <f t="shared" si="5"/>
        <v>8.1869999999999834</v>
      </c>
    </row>
    <row r="23" spans="1:5" x14ac:dyDescent="0.25">
      <c r="A23">
        <f t="shared" si="8"/>
        <v>5.8999999999999995</v>
      </c>
      <c r="B23">
        <f t="shared" si="3"/>
        <v>38.349999999999994</v>
      </c>
      <c r="C23">
        <v>6.5</v>
      </c>
      <c r="D23" s="1">
        <f t="shared" si="7"/>
        <v>10.040000000000006</v>
      </c>
      <c r="E23" s="1">
        <f t="shared" si="5"/>
        <v>10.053000000000026</v>
      </c>
    </row>
    <row r="24" spans="1:5" x14ac:dyDescent="0.25">
      <c r="A24">
        <f t="shared" si="8"/>
        <v>5.6999999999999993</v>
      </c>
      <c r="B24">
        <f t="shared" si="3"/>
        <v>37.049999999999997</v>
      </c>
      <c r="C24">
        <v>6.5</v>
      </c>
      <c r="D24" s="1">
        <f t="shared" si="7"/>
        <v>11.920000000000016</v>
      </c>
      <c r="E24" s="1">
        <f t="shared" si="5"/>
        <v>11.918999999999997</v>
      </c>
    </row>
    <row r="25" spans="1:5" x14ac:dyDescent="0.25">
      <c r="A25">
        <f t="shared" si="8"/>
        <v>5.4999999999999991</v>
      </c>
      <c r="B25">
        <f t="shared" si="3"/>
        <v>35.749999999999993</v>
      </c>
      <c r="C25">
        <v>6.5</v>
      </c>
      <c r="D25" s="1">
        <f t="shared" si="7"/>
        <v>13.800000000000011</v>
      </c>
      <c r="E25" s="1">
        <f t="shared" si="5"/>
        <v>13.785000000000011</v>
      </c>
    </row>
    <row r="26" spans="1:5" x14ac:dyDescent="0.25">
      <c r="A26">
        <v>6.9</v>
      </c>
      <c r="B26">
        <f t="shared" si="3"/>
        <v>46.92</v>
      </c>
      <c r="C26">
        <v>6.8</v>
      </c>
      <c r="D26">
        <f t="shared" ref="D26:D33" si="9">71.2-1.02*A26*10</f>
        <v>0.82000000000000739</v>
      </c>
      <c r="E26" s="1">
        <f t="shared" si="5"/>
        <v>0.89159999999998263</v>
      </c>
    </row>
    <row r="27" spans="1:5" x14ac:dyDescent="0.25">
      <c r="A27">
        <f>A26-0.2</f>
        <v>6.7</v>
      </c>
      <c r="B27">
        <f t="shared" si="3"/>
        <v>45.56</v>
      </c>
      <c r="C27">
        <v>6.8</v>
      </c>
      <c r="D27">
        <f t="shared" si="9"/>
        <v>2.8599999999999994</v>
      </c>
      <c r="E27" s="1">
        <f t="shared" si="5"/>
        <v>2.9387999999999579</v>
      </c>
    </row>
    <row r="28" spans="1:5" x14ac:dyDescent="0.25">
      <c r="A28">
        <f t="shared" ref="A28:A33" si="10">A27-0.2</f>
        <v>6.5</v>
      </c>
      <c r="B28">
        <f t="shared" si="3"/>
        <v>44.199999999999996</v>
      </c>
      <c r="C28">
        <v>6.8</v>
      </c>
      <c r="D28">
        <f t="shared" si="9"/>
        <v>4.9000000000000057</v>
      </c>
      <c r="E28" s="1">
        <f t="shared" si="5"/>
        <v>4.98599999999999</v>
      </c>
    </row>
    <row r="29" spans="1:5" x14ac:dyDescent="0.25">
      <c r="A29">
        <f t="shared" si="10"/>
        <v>6.3</v>
      </c>
      <c r="B29">
        <f t="shared" si="3"/>
        <v>42.839999999999996</v>
      </c>
      <c r="C29">
        <v>6.8</v>
      </c>
      <c r="D29">
        <f t="shared" si="9"/>
        <v>6.9399999999999977</v>
      </c>
      <c r="E29" s="1">
        <f t="shared" si="5"/>
        <v>7.0331999999999653</v>
      </c>
    </row>
    <row r="30" spans="1:5" x14ac:dyDescent="0.25">
      <c r="A30">
        <f t="shared" si="10"/>
        <v>6.1</v>
      </c>
      <c r="B30">
        <f t="shared" si="3"/>
        <v>41.48</v>
      </c>
      <c r="C30">
        <v>6.8</v>
      </c>
      <c r="D30">
        <f t="shared" si="9"/>
        <v>8.980000000000004</v>
      </c>
      <c r="E30" s="1">
        <f t="shared" si="5"/>
        <v>9.0803999999999974</v>
      </c>
    </row>
    <row r="31" spans="1:5" x14ac:dyDescent="0.25">
      <c r="A31">
        <f t="shared" si="10"/>
        <v>5.8999999999999995</v>
      </c>
      <c r="B31">
        <f t="shared" si="3"/>
        <v>40.119999999999997</v>
      </c>
      <c r="C31">
        <v>6.8</v>
      </c>
      <c r="D31">
        <f t="shared" si="9"/>
        <v>11.020000000000003</v>
      </c>
      <c r="E31" s="1">
        <f t="shared" si="5"/>
        <v>11.127599999999973</v>
      </c>
    </row>
    <row r="32" spans="1:5" x14ac:dyDescent="0.25">
      <c r="A32">
        <f t="shared" si="10"/>
        <v>5.6999999999999993</v>
      </c>
      <c r="B32">
        <f t="shared" si="3"/>
        <v>38.759999999999991</v>
      </c>
      <c r="C32">
        <v>6.8</v>
      </c>
      <c r="D32">
        <f t="shared" si="9"/>
        <v>13.060000000000009</v>
      </c>
      <c r="E32" s="1">
        <f t="shared" si="5"/>
        <v>13.174800000000005</v>
      </c>
    </row>
    <row r="33" spans="1:6" x14ac:dyDescent="0.25">
      <c r="A33">
        <f t="shared" si="10"/>
        <v>5.4999999999999991</v>
      </c>
      <c r="B33">
        <f t="shared" si="3"/>
        <v>37.399999999999991</v>
      </c>
      <c r="C33">
        <v>6.8</v>
      </c>
      <c r="D33">
        <f t="shared" si="9"/>
        <v>15.100000000000009</v>
      </c>
      <c r="E33" s="1">
        <f t="shared" si="5"/>
        <v>15.22199999999998</v>
      </c>
    </row>
    <row r="34" spans="1:6" x14ac:dyDescent="0.25">
      <c r="A34" t="s">
        <v>123</v>
      </c>
    </row>
    <row r="35" spans="1:6" ht="15.75" thickBot="1" x14ac:dyDescent="0.3"/>
    <row r="36" spans="1:6" x14ac:dyDescent="0.25">
      <c r="A36" s="9" t="s">
        <v>124</v>
      </c>
      <c r="B36" s="9"/>
    </row>
    <row r="37" spans="1:6" x14ac:dyDescent="0.25">
      <c r="A37" s="6" t="s">
        <v>125</v>
      </c>
      <c r="B37" s="6">
        <v>0.99996984469798134</v>
      </c>
    </row>
    <row r="38" spans="1:6" ht="21" x14ac:dyDescent="0.35">
      <c r="A38" s="6" t="s">
        <v>126</v>
      </c>
      <c r="B38" s="10">
        <v>0.99993969030530483</v>
      </c>
      <c r="D38" s="61" t="s">
        <v>189</v>
      </c>
    </row>
    <row r="39" spans="1:6" x14ac:dyDescent="0.25">
      <c r="A39" s="6" t="s">
        <v>127</v>
      </c>
      <c r="B39" s="6">
        <v>0.99993064385110064</v>
      </c>
    </row>
    <row r="40" spans="1:6" x14ac:dyDescent="0.25">
      <c r="A40" s="6" t="s">
        <v>128</v>
      </c>
      <c r="B40" s="6">
        <v>3.6589281356760851E-2</v>
      </c>
    </row>
    <row r="41" spans="1:6" ht="15.75" thickBot="1" x14ac:dyDescent="0.3">
      <c r="A41" s="7" t="s">
        <v>129</v>
      </c>
      <c r="B41" s="7">
        <v>24</v>
      </c>
    </row>
    <row r="43" spans="1:6" ht="15.75" thickBot="1" x14ac:dyDescent="0.3">
      <c r="A43" t="s">
        <v>130</v>
      </c>
    </row>
    <row r="44" spans="1:6" x14ac:dyDescent="0.25">
      <c r="A44" s="8"/>
      <c r="B44" s="8" t="s">
        <v>135</v>
      </c>
      <c r="C44" s="8" t="s">
        <v>136</v>
      </c>
      <c r="D44" s="8" t="s">
        <v>137</v>
      </c>
      <c r="E44" s="8" t="s">
        <v>138</v>
      </c>
      <c r="F44" s="8" t="s">
        <v>139</v>
      </c>
    </row>
    <row r="45" spans="1:6" x14ac:dyDescent="0.25">
      <c r="A45" s="6" t="s">
        <v>131</v>
      </c>
      <c r="B45" s="6">
        <v>3</v>
      </c>
      <c r="C45" s="6">
        <v>443.94015782312994</v>
      </c>
      <c r="D45" s="6">
        <v>147.98005260770998</v>
      </c>
      <c r="E45" s="6">
        <v>110533.88075879737</v>
      </c>
      <c r="F45" s="6">
        <v>2.3554686384609523E-42</v>
      </c>
    </row>
    <row r="46" spans="1:6" x14ac:dyDescent="0.25">
      <c r="A46" s="6" t="s">
        <v>132</v>
      </c>
      <c r="B46" s="6">
        <v>20</v>
      </c>
      <c r="C46" s="6">
        <v>2.6775510204084148E-2</v>
      </c>
      <c r="D46" s="6">
        <v>1.3387755102042074E-3</v>
      </c>
      <c r="E46" s="6"/>
      <c r="F46" s="6"/>
    </row>
    <row r="47" spans="1:6" ht="15.75" thickBot="1" x14ac:dyDescent="0.3">
      <c r="A47" s="7" t="s">
        <v>133</v>
      </c>
      <c r="B47" s="7">
        <v>23</v>
      </c>
      <c r="C47" s="7">
        <v>443.966933333334</v>
      </c>
      <c r="D47" s="7"/>
      <c r="E47" s="7"/>
      <c r="F47" s="7"/>
    </row>
    <row r="48" spans="1:6" ht="15.75" thickBot="1" x14ac:dyDescent="0.3"/>
    <row r="49" spans="1:9" x14ac:dyDescent="0.25">
      <c r="A49" s="8"/>
      <c r="B49" s="8" t="s">
        <v>140</v>
      </c>
      <c r="C49" s="8" t="s">
        <v>128</v>
      </c>
      <c r="D49" s="8" t="s">
        <v>141</v>
      </c>
      <c r="E49" s="8" t="s">
        <v>142</v>
      </c>
      <c r="F49" s="8" t="s">
        <v>143</v>
      </c>
      <c r="G49" s="8" t="s">
        <v>144</v>
      </c>
      <c r="H49" s="8" t="s">
        <v>145</v>
      </c>
      <c r="I49" s="8" t="s">
        <v>146</v>
      </c>
    </row>
    <row r="50" spans="1:9" x14ac:dyDescent="0.25">
      <c r="A50" s="6" t="s">
        <v>134</v>
      </c>
      <c r="B50" s="10">
        <v>-73.961224489795597</v>
      </c>
      <c r="C50" s="6">
        <v>1.9780086367440253</v>
      </c>
      <c r="D50" s="6">
        <v>-37.391760134850685</v>
      </c>
      <c r="E50" s="6">
        <v>5.5194824676444093E-20</v>
      </c>
      <c r="F50" s="6">
        <v>-78.087278204419817</v>
      </c>
      <c r="G50" s="6">
        <v>-69.835170775171377</v>
      </c>
      <c r="H50" s="6">
        <v>-78.087278204419817</v>
      </c>
      <c r="I50" s="6">
        <v>-69.835170775171377</v>
      </c>
    </row>
    <row r="51" spans="1:9" x14ac:dyDescent="0.25">
      <c r="A51" s="6" t="s">
        <v>121</v>
      </c>
      <c r="B51" s="10">
        <v>10.297959183673413</v>
      </c>
      <c r="C51" s="6">
        <v>0.3181657556171788</v>
      </c>
      <c r="D51" s="6">
        <v>32.366648521609136</v>
      </c>
      <c r="E51" s="6">
        <v>9.4611428276799403E-19</v>
      </c>
      <c r="F51" s="6">
        <v>9.6342770472842538</v>
      </c>
      <c r="G51" s="6">
        <v>10.961641320062572</v>
      </c>
      <c r="H51" s="6">
        <v>9.6342770472842538</v>
      </c>
      <c r="I51" s="6">
        <v>10.961641320062572</v>
      </c>
    </row>
    <row r="52" spans="1:9" x14ac:dyDescent="0.25">
      <c r="A52" s="6" t="s">
        <v>147</v>
      </c>
      <c r="B52" s="10">
        <v>-3.0204081632652962</v>
      </c>
      <c r="C52" s="6">
        <v>4.9390887306408837E-2</v>
      </c>
      <c r="D52" s="6">
        <v>-61.153146420055826</v>
      </c>
      <c r="E52" s="6">
        <v>3.2048736659764315E-24</v>
      </c>
      <c r="F52" s="6">
        <v>-3.1234357488144924</v>
      </c>
      <c r="G52" s="6">
        <v>-2.9173805777160999</v>
      </c>
      <c r="H52" s="6">
        <v>-3.1234357488144924</v>
      </c>
      <c r="I52" s="6">
        <v>-2.9173805777160999</v>
      </c>
    </row>
    <row r="53" spans="1:9" ht="15.75" thickBot="1" x14ac:dyDescent="0.3">
      <c r="A53" s="7" t="s">
        <v>188</v>
      </c>
      <c r="B53" s="11">
        <v>21.387755102040757</v>
      </c>
      <c r="C53" s="7">
        <v>0.30705882057928363</v>
      </c>
      <c r="D53" s="7">
        <v>69.653609239075308</v>
      </c>
      <c r="E53" s="7">
        <v>2.4008874927291061E-25</v>
      </c>
      <c r="F53" s="7">
        <v>20.747241626151805</v>
      </c>
      <c r="G53" s="7">
        <v>22.028268577929708</v>
      </c>
      <c r="H53" s="7">
        <v>20.747241626151805</v>
      </c>
      <c r="I53" s="7">
        <v>22.028268577929708</v>
      </c>
    </row>
  </sheetData>
  <sheetProtection sheet="1" objects="1" scenario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53</vt:i4>
      </vt:variant>
    </vt:vector>
  </HeadingPairs>
  <TitlesOfParts>
    <vt:vector size="58" baseType="lpstr">
      <vt:lpstr>ReadMe-Orientation</vt:lpstr>
      <vt:lpstr>recommendation tool</vt:lpstr>
      <vt:lpstr>DVlists</vt:lpstr>
      <vt:lpstr>FertCosts</vt:lpstr>
      <vt:lpstr>lime model</vt:lpstr>
      <vt:lpstr>bi</vt:lpstr>
      <vt:lpstr>C_</vt:lpstr>
      <vt:lpstr>cb</vt:lpstr>
      <vt:lpstr>cc</vt:lpstr>
      <vt:lpstr>cec</vt:lpstr>
      <vt:lpstr>CONVERSIONS</vt:lpstr>
      <vt:lpstr>CPA</vt:lpstr>
      <vt:lpstr>cr</vt:lpstr>
      <vt:lpstr>crops</vt:lpstr>
      <vt:lpstr>FERTILIZER_COMPOSITION_AND_PRICE_TABLE</vt:lpstr>
      <vt:lpstr>Flizers</vt:lpstr>
      <vt:lpstr>Ftypes</vt:lpstr>
      <vt:lpstr>FertCosts!INPUTS</vt:lpstr>
      <vt:lpstr>INPUTS</vt:lpstr>
      <vt:lpstr>INregions</vt:lpstr>
      <vt:lpstr>FertCosts!K</vt:lpstr>
      <vt:lpstr>K</vt:lpstr>
      <vt:lpstr>l</vt:lpstr>
      <vt:lpstr>llk</vt:lpstr>
      <vt:lpstr>llp</vt:lpstr>
      <vt:lpstr>MKp</vt:lpstr>
      <vt:lpstr>MPp</vt:lpstr>
      <vt:lpstr>FertCosts!N</vt:lpstr>
      <vt:lpstr>Name</vt:lpstr>
      <vt:lpstr>Npr</vt:lpstr>
      <vt:lpstr>OPTIONAL_INPUTS</vt:lpstr>
      <vt:lpstr>FertCosts!OUTPUTS</vt:lpstr>
      <vt:lpstr>OUTPUTS</vt:lpstr>
      <vt:lpstr>FertCosts!P</vt:lpstr>
      <vt:lpstr>P</vt:lpstr>
      <vt:lpstr>pc</vt:lpstr>
      <vt:lpstr>ph</vt:lpstr>
      <vt:lpstr>phb</vt:lpstr>
      <vt:lpstr>pht</vt:lpstr>
      <vt:lpstr>PN</vt:lpstr>
      <vt:lpstr>R_1</vt:lpstr>
      <vt:lpstr>R_2</vt:lpstr>
      <vt:lpstr>R_3</vt:lpstr>
      <vt:lpstr>R_4</vt:lpstr>
      <vt:lpstr>reg</vt:lpstr>
      <vt:lpstr>FertCosts!S</vt:lpstr>
      <vt:lpstr>st</vt:lpstr>
      <vt:lpstr>stk</vt:lpstr>
      <vt:lpstr>stp</vt:lpstr>
      <vt:lpstr>stt</vt:lpstr>
      <vt:lpstr>stu</vt:lpstr>
      <vt:lpstr>T_1</vt:lpstr>
      <vt:lpstr>T_2</vt:lpstr>
      <vt:lpstr>T_3</vt:lpstr>
      <vt:lpstr>T_4</vt:lpstr>
      <vt:lpstr>test_units</vt:lpstr>
      <vt:lpstr>Vc</vt:lpstr>
      <vt:lpstr>yg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Buckmaster, Dennis</dc:creator>
  <cp:lastModifiedBy>Buckmaster, Dennis</cp:lastModifiedBy>
  <cp:lastPrinted>2021-04-07T13:43:40Z</cp:lastPrinted>
  <dcterms:created xsi:type="dcterms:W3CDTF">2021-03-29T18:24:44Z</dcterms:created>
  <dcterms:modified xsi:type="dcterms:W3CDTF">2024-03-19T12:58:48Z</dcterms:modified>
</cp:coreProperties>
</file>