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embeddings/oleObject7.bin" ContentType="application/vnd.openxmlformats-officedocument.oleObject"/>
  <Override PartName="/xl/ctrlProps/ctrlProp13.xml" ContentType="application/vnd.ms-excel.controlproperties+xml"/>
  <Override PartName="/xl/ctrlProps/ctrlProp14.xml" ContentType="application/vnd.ms-excel.controlproperties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embeddings/oleObject8.bin" ContentType="application/vnd.openxmlformats-officedocument.oleObject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7043766D-33F4-4B4B-8641-494011D39FA7}" xr6:coauthVersionLast="36" xr6:coauthVersionMax="45" xr10:uidLastSave="{00000000-0000-0000-0000-000000000000}"/>
  <bookViews>
    <workbookView xWindow="-120" yWindow="-120" windowWidth="29040" windowHeight="15840" xr2:uid="{202AFB45-E765-4F36-869B-885BB89A01FB}"/>
  </bookViews>
  <sheets>
    <sheet name="shaft sizing example" sheetId="6" r:id="rId1"/>
    <sheet name="Ballast tool demo" sheetId="14" r:id="rId2"/>
    <sheet name="Ballast tool demo done" sheetId="18" r:id="rId3"/>
    <sheet name="planter" sheetId="8" r:id="rId4"/>
    <sheet name="Tractor Cost" sheetId="10" r:id="rId5"/>
    <sheet name="planter data" sheetId="9" r:id="rId6"/>
    <sheet name="Integrated Model" sheetId="2" r:id="rId7"/>
    <sheet name="Cycle Analysis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Key1" localSheetId="6" hidden="1">#REF!</definedName>
    <definedName name="_Key1" hidden="1">#REF!</definedName>
    <definedName name="_Order1" hidden="1">255</definedName>
    <definedName name="A" localSheetId="7">'Cycle Analysis'!$B$6:$IV$6</definedName>
    <definedName name="A">planter!$B$4:$XFD$4</definedName>
    <definedName name="aa" localSheetId="6">'Integrated Model'!$B$31:$XFD$31</definedName>
    <definedName name="aa">#REF!</definedName>
    <definedName name="Abbrev.">'Tractor Cost'!$B$1:$XFD$1</definedName>
    <definedName name="Abbreviation">'shaft sizing example'!$B$5:$IV$5</definedName>
    <definedName name="AC" localSheetId="4">'Tractor Cost'!$B$34:$XFD$34</definedName>
    <definedName name="Afc" localSheetId="4">'Tractor Cost'!$B$13:$XFD$13</definedName>
    <definedName name="AFW">'[1]part 2 -- weights'!$B$17:$XFD$17</definedName>
    <definedName name="Ahw">'[2]calcs in place'!$B$9:$XFD$9</definedName>
    <definedName name="Ahww">'[3]box calc''s'!$B$9:$XFD$9</definedName>
    <definedName name="Alate" localSheetId="3">planter!$B$56:$XFD$56</definedName>
    <definedName name="Alate">#REF!</definedName>
    <definedName name="Alh">'[2]calcs in place'!$B$11:$XFD$11</definedName>
    <definedName name="Alhh">'[3]box calc''s'!$B$11:$XFD$11</definedName>
    <definedName name="Alw">'[2]calcs in place'!$B$10:$XFD$10</definedName>
    <definedName name="anscount" hidden="1">1</definedName>
    <definedName name="AR">'Integrated Model'!$B$128:$XFD$128</definedName>
    <definedName name="Articulated">'Tractor Cost'!$B$66:$XFD$66</definedName>
    <definedName name="Atimely" localSheetId="3">planter!$B$55:$XFD$55</definedName>
    <definedName name="Atimely">#REF!</definedName>
    <definedName name="B" localSheetId="3">planter!$B$7:$XFD$7</definedName>
    <definedName name="B">#REF!</definedName>
    <definedName name="bb" localSheetId="6">'Integrated Model'!$B$32:$XFD$32</definedName>
    <definedName name="bb">#REF!</definedName>
    <definedName name="bf" localSheetId="6">'Integrated Model'!$B$14:$XFD$14</definedName>
    <definedName name="bf">#REF!</definedName>
    <definedName name="bleff">'[4]table &amp; plots'!$B$13:$IV$13</definedName>
    <definedName name="bnf" localSheetId="6">'Integrated Model'!$B$96:$XFD$96</definedName>
    <definedName name="bnf">#REF!</definedName>
    <definedName name="bnr" localSheetId="6">'Integrated Model'!$B$105:$XFD$105</definedName>
    <definedName name="bnr">#REF!</definedName>
    <definedName name="br" localSheetId="6">'Integrated Model'!$B$19:$XFD$19</definedName>
    <definedName name="br">#REF!</definedName>
    <definedName name="c_">'[5]7610 get param'!$B$36:$XFD$36</definedName>
    <definedName name="Ca" localSheetId="3">planter!$B$34:$XFD$34</definedName>
    <definedName name="Ca">#REF!</definedName>
    <definedName name="CAP">'[4]table &amp; plots'!$B$9:$IV$9</definedName>
    <definedName name="cc" localSheetId="6">'Integrated Model'!$B$33:$XFD$33</definedName>
    <definedName name="cc">#REF!</definedName>
    <definedName name="CDT" localSheetId="6">'Integrated Model'!$B$3:$XFD$3</definedName>
    <definedName name="CDT">#REF!</definedName>
    <definedName name="CFA">'Integrated Model'!$B$5:$XFD$5</definedName>
    <definedName name="cif" localSheetId="6">'Integrated Model'!$B$13:$XFD$13</definedName>
    <definedName name="cif">#REF!</definedName>
    <definedName name="cir" localSheetId="6">'Integrated Model'!$B$103:$XFD$103</definedName>
    <definedName name="cir">#REF!</definedName>
    <definedName name="Cm_max">'Cycle Analysis'!$B$8:$IV$8</definedName>
    <definedName name="Cm_u">'Cycle Analysis'!$B$21:$IV$21</definedName>
    <definedName name="CRA">'Integrated Model'!$B$6:$XFD$6</definedName>
    <definedName name="Crop">'Cycle Analysis'!$B$4:$IV$4</definedName>
    <definedName name="crv_1" localSheetId="3">planter!$B$25:$XFD$25</definedName>
    <definedName name="crv_1">#REF!</definedName>
    <definedName name="crv_2" localSheetId="3">planter!$B$26:$XFD$26</definedName>
    <definedName name="crv_2">#REF!</definedName>
    <definedName name="crv_3" localSheetId="3">planter!$B$27:$XFD$27</definedName>
    <definedName name="crv_3">#REF!</definedName>
    <definedName name="Csys_a">'Cycle Analysis'!$B$45:$IV$45</definedName>
    <definedName name="Csys_b">'Cycle Analysis'!$B$49:$IV$49</definedName>
    <definedName name="CT">'Cycle Analysis'!$B$32:$IV$32</definedName>
    <definedName name="CTh">'Cycle Analysis'!$B$29:$IV$29</definedName>
    <definedName name="CTt" localSheetId="7">'Cycle Analysis'!$B$30:$IV$30</definedName>
    <definedName name="CTT" localSheetId="6">'Integrated Model'!$B$4:$XFD$4</definedName>
    <definedName name="Ctt" localSheetId="4">'Tractor Cost'!$B$4:$XFD$4</definedName>
    <definedName name="CTT">#REF!</definedName>
    <definedName name="CTu">'Cycle Analysis'!$B$31:$IV$31</definedName>
    <definedName name="CTW">'[1]part 2 -- weights'!$B$12:$XFD$12</definedName>
    <definedName name="Cycle_Diagram_Analysis_of_System_Capacity___Efficiency">'Cycle Analysis'!$B$1:$IV$1</definedName>
    <definedName name="d" localSheetId="0">'shaft sizing example'!$B$26:$IV$26</definedName>
    <definedName name="D" localSheetId="4">'Tractor Cost'!$B$26:$XFD$26</definedName>
    <definedName name="D">planter!$B$43:$XFD$43</definedName>
    <definedName name="DA" localSheetId="3">planter!$B$12:$XFD$12</definedName>
    <definedName name="DA">#REF!</definedName>
    <definedName name="DB" localSheetId="3">planter!$B$13:$XFD$13</definedName>
    <definedName name="DB">#REF!</definedName>
    <definedName name="DC" localSheetId="3">planter!$B$14:$XFD$14</definedName>
    <definedName name="DC" localSheetId="4">'Tractor Cost'!$B$30:$XFD$30</definedName>
    <definedName name="DC">#REF!</definedName>
    <definedName name="dd" localSheetId="6">'Integrated Model'!$B$34:$XFD$34</definedName>
    <definedName name="dd">#REF!</definedName>
    <definedName name="delay" localSheetId="3">planter!$B$57:$XFD$57</definedName>
    <definedName name="delay">#REF!</definedName>
    <definedName name="delpacc">'[4]table &amp; plots'!$B$34:$IV$34</definedName>
    <definedName name="delpair">'[4]table &amp; plots'!$B$32:$IV$32</definedName>
    <definedName name="delpbS">'[4]table &amp; plots'!$B$39:$IV$39</definedName>
    <definedName name="delplift">'[4]table &amp; plots'!$B$36:$IV$36</definedName>
    <definedName name="delpS">'[4]table &amp; plots'!$B$38:$IV$38</definedName>
    <definedName name="delptot">'[4]table &amp; plots'!$B$41:$IV$41</definedName>
    <definedName name="deltaf" localSheetId="6">'Integrated Model'!$B$80:$XFD$80</definedName>
    <definedName name="deltaf">#REF!</definedName>
    <definedName name="deltar" localSheetId="6">'Integrated Model'!$B$84:$XFD$84</definedName>
    <definedName name="deltar">#REF!</definedName>
    <definedName name="df" localSheetId="6">'Integrated Model'!$B$79:$XFD$79</definedName>
    <definedName name="df">#REF!</definedName>
    <definedName name="di" localSheetId="6">'Integrated Model'!$B$47:$XFD$47</definedName>
    <definedName name="di">#REF!</definedName>
    <definedName name="DIA">'[4]table &amp; plots'!$B$8:$IV$8</definedName>
    <definedName name="dnrf" localSheetId="6">'Integrated Model'!$B$16:$XFD$16</definedName>
    <definedName name="dnrf">#REF!</definedName>
    <definedName name="dnrr" localSheetId="6">'Integrated Model'!$B$21:$XFD$21</definedName>
    <definedName name="dnrr">#REF!</definedName>
    <definedName name="dr" localSheetId="6">'Integrated Model'!$B$83:$XFD$83</definedName>
    <definedName name="dr">#REF!</definedName>
    <definedName name="DRFT" localSheetId="6">'Integrated Model'!$B$93:$XFD$93</definedName>
    <definedName name="DRFT">#REF!</definedName>
    <definedName name="Dt">'Cycle Analysis'!$B$15:$IV$15</definedName>
    <definedName name="E">planter!$B$9:$XFD$9</definedName>
    <definedName name="ed" localSheetId="6">'Integrated Model'!$B$43:$XFD$43</definedName>
    <definedName name="ed">#REF!</definedName>
    <definedName name="Ef_h_act">'Cycle Analysis'!$B$46:$IV$46</definedName>
    <definedName name="Ef_max">'Cycle Analysis'!$B$10:$IV$10</definedName>
    <definedName name="efd" localSheetId="6">'Integrated Model'!$B$42:$XFD$42</definedName>
    <definedName name="efd">#REF!</definedName>
    <definedName name="efr" localSheetId="6">'Integrated Model'!$B$44:$XFD$44</definedName>
    <definedName name="efr">#REF!</definedName>
    <definedName name="ENGINE" localSheetId="6">'Integrated Model'!$B$114:$XFD$114</definedName>
    <definedName name="ENGINE">#REF!</definedName>
    <definedName name="Epto" localSheetId="6">'Integrated Model'!$B$36:$XFD$36</definedName>
    <definedName name="Epto" localSheetId="4">'Tractor Cost'!$B$14:$XFD$14</definedName>
    <definedName name="Epto">#REF!</definedName>
    <definedName name="erdraft" localSheetId="6">'Integrated Model'!$B$134:$XFD$134</definedName>
    <definedName name="erdraft">#REF!</definedName>
    <definedName name="erpull" localSheetId="6">'Integrated Model'!$B$133:$XFD$133</definedName>
    <definedName name="erpull">#REF!</definedName>
    <definedName name="ERRORS" localSheetId="6">'Integrated Model'!$B$130:$XFD$130</definedName>
    <definedName name="ERRORS">#REF!</definedName>
    <definedName name="errtq">'Integrated Model'!$B$131:$XFD$131</definedName>
    <definedName name="erspd" localSheetId="6">'Integrated Model'!$B$132:$XFD$132</definedName>
    <definedName name="erspd">#REF!</definedName>
    <definedName name="ertot" localSheetId="6">'Integrated Model'!$B$135:$XFD$135</definedName>
    <definedName name="ertot">#REF!</definedName>
    <definedName name="et" localSheetId="6">'Integrated Model'!$B$41:$XFD$41</definedName>
    <definedName name="Et">planter!$B$15:$XFD$15</definedName>
    <definedName name="etaf" localSheetId="6">'Integrated Model'!$B$102:$XFD$102</definedName>
    <definedName name="etaf">#REF!</definedName>
    <definedName name="etar" localSheetId="6">'Integrated Model'!$B$110:$XFD$110</definedName>
    <definedName name="etar">#REF!</definedName>
    <definedName name="EXAMPLE_OF_GOOD_SPREADSHEET_FORMAT_FOR_PROBLEM_SOLVING">'shaft sizing example'!$B$1:$IV$1</definedName>
    <definedName name="F" localSheetId="4">'Tractor Cost'!$B$24:$XFD$24</definedName>
    <definedName name="f">'[5]7610 get param'!$B$29:$XFD$29</definedName>
    <definedName name="FC" localSheetId="6">'Integrated Model'!$B$123:$XFD$123</definedName>
    <definedName name="FC" localSheetId="4">'Tractor Cost'!$B$27:$XFD$27</definedName>
    <definedName name="FC">planter!$B$49:$XFD$49</definedName>
    <definedName name="Fixed_Frame">'Tractor Cost'!$B$65:$XFD$65</definedName>
    <definedName name="FLC" localSheetId="4">'Tractor Cost'!$B$35:$XFD$35</definedName>
    <definedName name="FPA">'Integrated Model'!$B$129:$XFD$129</definedName>
    <definedName name="FRONT_AXLE" localSheetId="6">'Integrated Model'!$B$12:$XFD$12</definedName>
    <definedName name="FRONT_AXLE">#REF!</definedName>
    <definedName name="Fs" localSheetId="3">planter!$B$11:$XFD$11</definedName>
    <definedName name="FS">'shaft sizing example'!$B$9:$IV$9</definedName>
    <definedName name="FUEL" localSheetId="3">planter!$B$51:$XFD$51</definedName>
    <definedName name="FUEL">#REF!</definedName>
    <definedName name="g" localSheetId="6">'Integrated Model'!$B$64:$XFD$64</definedName>
    <definedName name="G">planter!$B$6:$XFD$6</definedName>
    <definedName name="ga">'[5]7610 model'!$B$7:$XFD$7</definedName>
    <definedName name="gb">'[5]7610 model'!$B$8:$XFD$8</definedName>
    <definedName name="gc">'[5]7610 model'!$B$9:$XFD$9</definedName>
    <definedName name="gd">'[5]7610 model'!$B$10:$XFD$10</definedName>
    <definedName name="gg">'[5]7610 get param'!$B$30:$XFD$30</definedName>
    <definedName name="goodtable">'Ballast tool demo done'!$I$27:$L$29</definedName>
    <definedName name="GT" localSheetId="3">planter!$B$61:$XFD$61</definedName>
    <definedName name="GT">#REF!</definedName>
    <definedName name="GT2_" localSheetId="3">planter!$B$62:$XFD$62</definedName>
    <definedName name="GT2_">#REF!</definedName>
    <definedName name="GUESSES_FOR_ITERATION" localSheetId="6">'Integrated Model'!$B$53:$XFD$53</definedName>
    <definedName name="GUESSES_FOR_ITERATION">#REF!</definedName>
    <definedName name="h" localSheetId="6">'Integrated Model'!$B$65:$XFD$65</definedName>
    <definedName name="H" localSheetId="4">'Tractor Cost'!$B$6:$XFD$6</definedName>
    <definedName name="H">planter!$B$36:$XFD$36</definedName>
    <definedName name="Harvester">'Cycle Analysis'!$B$7:$IV$7</definedName>
    <definedName name="HCnf" localSheetId="4">'Tractor Cost'!$B$37:$XFD$37</definedName>
    <definedName name="HCtot" localSheetId="4">'Tractor Cost'!$B$36:$XFD$36</definedName>
    <definedName name="hf" localSheetId="6">'Integrated Model'!$B$78:$XFD$78</definedName>
    <definedName name="hf">#REF!</definedName>
    <definedName name="hh">'[5]7610 get param'!$B$31:$XFD$31</definedName>
    <definedName name="hr" localSheetId="6">'Integrated Model'!$B$82:$XFD$82</definedName>
    <definedName name="hr">#REF!</definedName>
    <definedName name="Htr" localSheetId="3">planter!$B$31:$XFD$31</definedName>
    <definedName name="Htr">#REF!</definedName>
    <definedName name="i" localSheetId="6">'Integrated Model'!$B$66:$XFD$66</definedName>
    <definedName name="i" localSheetId="4">'Tractor Cost'!$B$7:$XFD$7</definedName>
    <definedName name="I">planter!$B$16:$XFD$16</definedName>
    <definedName name="idp1_" localSheetId="6">'Integrated Model'!$B$48:$XFD$48</definedName>
    <definedName name="idp1_">#REF!</definedName>
    <definedName name="idp2_" localSheetId="6">'Integrated Model'!$B$49:$XFD$49</definedName>
    <definedName name="idp2_">#REF!</definedName>
    <definedName name="idp3_" localSheetId="6">'Integrated Model'!$B$50:$XFD$50</definedName>
    <definedName name="idp3_">#REF!</definedName>
    <definedName name="IF_FUNCTION__LOOKUP____USING_A_TRENDLINE">#REF!</definedName>
    <definedName name="Iht">'Cycle Analysis'!$B$12:$IV$12</definedName>
    <definedName name="IMPLEMENT" localSheetId="6">'Integrated Model'!$B$45:$XFD$45</definedName>
    <definedName name="IMPLEMENT">#REF!</definedName>
    <definedName name="imt">'Ballast tool demo done'!$B$13:$XFD$13</definedName>
    <definedName name="INPUT" localSheetId="3">planter!$B$1:$XFD$1</definedName>
    <definedName name="INPUT">#REF!</definedName>
    <definedName name="INPUTS" localSheetId="7">'Cycle Analysis'!$B$3:$IV$3</definedName>
    <definedName name="INPUTS" localSheetId="6">'Integrated Model'!$B$1:$XFD$1</definedName>
    <definedName name="INPUTS" localSheetId="0">'shaft sizing example'!$B$7:$IV$7</definedName>
    <definedName name="INPUTS">#REF!</definedName>
    <definedName name="INTERMEDIATE" localSheetId="3">planter!$B$33:$XFD$33</definedName>
    <definedName name="Intermediate" localSheetId="4">'Tractor Cost'!$B$16:$XFD$16</definedName>
    <definedName name="INTERMEDIATE">#REF!</definedName>
    <definedName name="INTERMEDIATE_CALCULATION">#REF!</definedName>
    <definedName name="INTERMEDIATE_CALCULATIONS____not_requiring_iteration" localSheetId="6">'Integrated Model'!$B$58:$XFD$58</definedName>
    <definedName name="INTERMEDIATE_CALCULATIONS____not_requiring_iteration">#REF!</definedName>
    <definedName name="INTERMEDIATE_CALCULATIONS____utilizing_iteration" localSheetId="6">'Integrated Model'!$B$87:$XFD$87</definedName>
    <definedName name="INTERMEDIATE_CALCULATIONS____utilizing_iteration">#REF!</definedName>
    <definedName name="INTERMEDIATE_COMPUTATIONS" localSheetId="7">'Cycle Analysis'!$B$23:$IV$23</definedName>
    <definedName name="INTERMEDIATE_COMPUTATIONS">'shaft sizing example'!$B$20:$IV$20</definedName>
    <definedName name="INVEST" localSheetId="3">planter!$B$40:$XFD$40</definedName>
    <definedName name="INVEST">#REF!</definedName>
    <definedName name="io">'[6]ballast 1'!$B$5:$XFD$5</definedName>
    <definedName name="j" localSheetId="6">'Integrated Model'!$B$67:$XFD$67</definedName>
    <definedName name="j">#REF!</definedName>
    <definedName name="K" localSheetId="3">planter!$B$24:$XFD$24</definedName>
    <definedName name="K">#REF!</definedName>
    <definedName name="Kbend">'[4]table &amp; plots'!$B$19:$IV$19</definedName>
    <definedName name="Km">'shaft sizing example'!$B$23:$IV$23</definedName>
    <definedName name="Kt">'shaft sizing example'!$B$22:$IV$22</definedName>
    <definedName name="L" localSheetId="4">'Tractor Cost'!$B$25:$XFD$25</definedName>
    <definedName name="L">'Cycle Analysis'!$B$36:$IV$36</definedName>
    <definedName name="LABOR" localSheetId="3">planter!$B$41:$XFD$41</definedName>
    <definedName name="LABOR">#REF!</definedName>
    <definedName name="lambdaL">'[4]table &amp; plots'!$B$29:$IV$29</definedName>
    <definedName name="lambdaS">'[4]table &amp; plots'!$B$37:$IV$37</definedName>
    <definedName name="LC" localSheetId="4">'Tractor Cost'!$B$29:$XFD$29</definedName>
    <definedName name="Leq">'[4]table &amp; plots'!$B$30:$IV$30</definedName>
    <definedName name="Li">'Cycle Analysis'!$B$37:$IV$37</definedName>
    <definedName name="limcount" hidden="1">1</definedName>
    <definedName name="Lt">'Cycle Analysis'!$B$48:$IV$48</definedName>
    <definedName name="Ltot">'[4]table &amp; plots'!$B$31:$IV$31</definedName>
    <definedName name="Lu">'Cycle Analysis'!$B$22:$IV$22</definedName>
    <definedName name="M" localSheetId="0">'shaft sizing example'!$B$10:$IV$10</definedName>
    <definedName name="m">'Integrated Model'!$B$63:$XFD$63</definedName>
    <definedName name="meng" localSheetId="6">'Integrated Model'!$B$63:$XFD$63</definedName>
    <definedName name="meng">#REF!</definedName>
    <definedName name="mu">'[4]table &amp; plots'!$B$11:$IV$11</definedName>
    <definedName name="mugf" localSheetId="6">'Integrated Model'!$B$98:$XFD$98</definedName>
    <definedName name="mugf">#REF!</definedName>
    <definedName name="mugr" localSheetId="6">'Integrated Model'!$B$106:$XFD$106</definedName>
    <definedName name="mugr">#REF!</definedName>
    <definedName name="munf" localSheetId="6">'Integrated Model'!$B$100:$XFD$100</definedName>
    <definedName name="munf">#REF!</definedName>
    <definedName name="munr" localSheetId="6">'Integrated Model'!$B$108:$XFD$108</definedName>
    <definedName name="munr">#REF!</definedName>
    <definedName name="nbends">'[4]table &amp; plots'!$B$7:$IV$7</definedName>
    <definedName name="Neng1" localSheetId="6">'Integrated Model'!$B$54:$XFD$54</definedName>
    <definedName name="Neng1">#REF!</definedName>
    <definedName name="Neng2" localSheetId="6">'Integrated Model'!$B$119:$XFD$119</definedName>
    <definedName name="Neng2">#REF!</definedName>
    <definedName name="Nfax" localSheetId="6">'Integrated Model'!$B$91:$XFD$91</definedName>
    <definedName name="Nfax">#REF!</definedName>
    <definedName name="Ngh">'Integrated Model'!$B$118:$XFD$118</definedName>
    <definedName name="Nhi" localSheetId="6">'Integrated Model'!$B$26:$XFD$26</definedName>
    <definedName name="Nhi">#REF!</definedName>
    <definedName name="Nij">'Integrated Model'!$B$117:$XFD$117</definedName>
    <definedName name="Nli" localSheetId="6">'Integrated Model'!$B$29:$XFD$29</definedName>
    <definedName name="Nli">#REF!</definedName>
    <definedName name="Nls" localSheetId="6">'Integrated Model'!$B$29:$XFD$29</definedName>
    <definedName name="Nls">#REF!</definedName>
    <definedName name="Nmb">'Integrated Model'!$B$116:$XFD$116</definedName>
    <definedName name="Nmt" localSheetId="6">'Integrated Model'!$B$28:$XFD$28</definedName>
    <definedName name="Nmt">#REF!</definedName>
    <definedName name="No">'[5]7610 model'!$B$14:$XFD$14</definedName>
    <definedName name="Nr" localSheetId="6">'Integrated Model'!$B$25:$XFD$25</definedName>
    <definedName name="Nr">#REF!</definedName>
    <definedName name="Nrax" localSheetId="6">'Integrated Model'!$B$89:$XFD$89</definedName>
    <definedName name="Nrax">#REF!</definedName>
    <definedName name="Nred" localSheetId="6">'Integrated Model'!$B$122:$XFD$122</definedName>
    <definedName name="Nred">#REF!</definedName>
    <definedName name="Nt">'Cycle Analysis'!$B$17:$IV$17</definedName>
    <definedName name="Ny" localSheetId="3">planter!$B$21:$XFD$21</definedName>
    <definedName name="Ny" localSheetId="4">'Tractor Cost'!$B$5:$XFD$5</definedName>
    <definedName name="Ny">#REF!</definedName>
    <definedName name="Nytr" localSheetId="3">planter!$B$30:$XFD$30</definedName>
    <definedName name="Nytr">#REF!</definedName>
    <definedName name="OUTPUT" localSheetId="3">planter!$B$60:$XFD$60</definedName>
    <definedName name="Output" localSheetId="4">'Tractor Cost'!$B$33:$XFD$33</definedName>
    <definedName name="OUTPUT">#REF!</definedName>
    <definedName name="OUTPUTS" localSheetId="7">'Cycle Analysis'!$B$38:$IV$38</definedName>
    <definedName name="OUTPUTS" localSheetId="0">'shaft sizing example'!$B$25:$IV$25</definedName>
    <definedName name="OUTPUTS">#REF!</definedName>
    <definedName name="P" localSheetId="4">'Tractor Cost'!$B$17:$XFD$17</definedName>
    <definedName name="P">'Ballast tool demo done'!$B$15:$XFD$15</definedName>
    <definedName name="P50F">'[5]7610 get param'!$B$7:$XFD$7</definedName>
    <definedName name="P50R">'[5]7610 get param'!$B$9:$XFD$9</definedName>
    <definedName name="P75F">'[5]7610 get param'!$B$6:$XFD$6</definedName>
    <definedName name="P75R">'[5]7610 get param'!$B$8:$XFD$8</definedName>
    <definedName name="Pax">'Integrated Model'!$B$125:$XFD$125</definedName>
    <definedName name="Pd" localSheetId="4">'Tractor Cost'!$B$9:$XFD$9</definedName>
    <definedName name="Pdb" localSheetId="3">planter!$B$44:$XFD$44</definedName>
    <definedName name="Pdb">#REF!</definedName>
    <definedName name="Peng" localSheetId="6">'Integrated Model'!$B$120:$XFD$120</definedName>
    <definedName name="Peng">#REF!</definedName>
    <definedName name="Pf" localSheetId="4">'Tractor Cost'!$B$8:$XFD$8</definedName>
    <definedName name="Pfuel" localSheetId="3">planter!$B$23:$XFD$23</definedName>
    <definedName name="Pfuel">#REF!</definedName>
    <definedName name="phim">'[4]table &amp; plots'!$B$23:$IV$23</definedName>
    <definedName name="phimact">'[4]table &amp; plots'!$B$27:$IV$27</definedName>
    <definedName name="Php">'Tractor Cost'!$B$3:$XFD$3</definedName>
    <definedName name="Phppto">'Tractor Cost'!$B$18:$XFD$18</definedName>
    <definedName name="PL" localSheetId="4">'Tractor Cost'!$B$28:$XFD$28</definedName>
    <definedName name="Plab" localSheetId="3">planter!$B$22:$XFD$22</definedName>
    <definedName name="Plab">#REF!</definedName>
    <definedName name="Pmach" localSheetId="3">planter!$B$35:$XFD$35</definedName>
    <definedName name="Pmach">#REF!</definedName>
    <definedName name="PmaxDB">'[5]7610 get param'!$B$5:$XFD$5</definedName>
    <definedName name="Po">'[5]7610 model'!$B$12:$XFD$12</definedName>
    <definedName name="POWER_TRANSMISSION_SHAFT_SIZING">'shaft sizing example'!$B$3:$IV$3</definedName>
    <definedName name="Pp" localSheetId="4">'Tractor Cost'!$B$11:$XFD$11</definedName>
    <definedName name="Ppto" localSheetId="6">'Integrated Model'!$B$7:$XFD$7</definedName>
    <definedName name="Ppto">#REF!</definedName>
    <definedName name="Ppto2">'[5]7610 get param'!$B$4:$XFD$4</definedName>
    <definedName name="Pr">planter!$B$46:$XFD$46</definedName>
    <definedName name="Preng" localSheetId="6">'Integrated Model'!$B$60:$XFD$60</definedName>
    <definedName name="Preng">#REF!</definedName>
    <definedName name="_xlnm.Print_Area" localSheetId="7">'Cycle Analysis'!$A$1:$E$49</definedName>
    <definedName name="_xlnm.Print_Area" localSheetId="6">'Integrated Model'!$A:$E</definedName>
    <definedName name="Pt" localSheetId="3">planter!$B$45:$XFD$45</definedName>
    <definedName name="Pt">#REF!</definedName>
    <definedName name="PTM" localSheetId="4">'Tractor Cost'!$B$23:$XFD$23</definedName>
    <definedName name="Ptra" localSheetId="3">planter!$B$47:$XFD$47</definedName>
    <definedName name="Ptra">#REF!</definedName>
    <definedName name="pulle" localSheetId="6">'Integrated Model'!$B$56:$XFD$56</definedName>
    <definedName name="pulle">#REF!</definedName>
    <definedName name="pullf" localSheetId="6">'Integrated Model'!$B$101:$XFD$101</definedName>
    <definedName name="pullf">#REF!</definedName>
    <definedName name="pullr" localSheetId="6">'Integrated Model'!$B$109:$XFD$109</definedName>
    <definedName name="pullr">#REF!</definedName>
    <definedName name="pullt" localSheetId="6">'Integrated Model'!$B$111:$XFD$111</definedName>
    <definedName name="pullt">#REF!</definedName>
    <definedName name="pullv" localSheetId="6">'Integrated Model'!$B$94:$XFD$94</definedName>
    <definedName name="pullv">#REF!</definedName>
    <definedName name="PV" localSheetId="4">'Tractor Cost'!$B$21:$XFD$21</definedName>
    <definedName name="Pvsalv" localSheetId="3">planter!$B$39:$XFD$39</definedName>
    <definedName name="Pvsalv">#REF!</definedName>
    <definedName name="pwd" localSheetId="3">planter!$B$5:$XFD$5</definedName>
    <definedName name="pwd">#REF!</definedName>
    <definedName name="pwfa">[7]forms!$B$11:$XFD$11</definedName>
    <definedName name="Q">'[5]7610 model'!$B$20:$XFD$20</definedName>
    <definedName name="Q50F">'[5]7610 get param'!$B$25:$XFD$25</definedName>
    <definedName name="Q50R">'[5]7610 get param'!$B$27:$XFD$27</definedName>
    <definedName name="Q75F">'[5]7610 get param'!$B$24:$XFD$24</definedName>
    <definedName name="Q75R">'[5]7610 get param'!$B$26:$XFD$26</definedName>
    <definedName name="Qair">'[4]table &amp; plots'!$B$21:$IV$21</definedName>
    <definedName name="Qmair">'[4]table &amp; plots'!$B$22:$IV$22</definedName>
    <definedName name="Qmair2">'[4]table &amp; plots'!$B$24:$IV$24</definedName>
    <definedName name="R_M_Cost_Table__an_intermediate_thing__but_space_consuming" localSheetId="3">planter!$B$66:$XFD$66</definedName>
    <definedName name="R_M_Cost_Table__an_intermediate_thing__but_space_consuming">#REF!</definedName>
    <definedName name="raf" localSheetId="6">'Integrated Model'!$B$15:$XFD$15</definedName>
    <definedName name="raf">#REF!</definedName>
    <definedName name="rar" localSheetId="6">'Integrated Model'!$B$20:$XFD$20</definedName>
    <definedName name="rar">#REF!</definedName>
    <definedName name="ratio">'[4]table &amp; plots'!$B$10:$IV$10</definedName>
    <definedName name="Re">'[4]table &amp; plots'!$B$28:$IV$28</definedName>
    <definedName name="REAR_AXLE" localSheetId="6">'Integrated Model'!$B$18:$XFD$18</definedName>
    <definedName name="REAR_AXLE">#REF!</definedName>
    <definedName name="REPEATED_SOLUTIONS_TO_THE_SAME_PROBLEM_VIA_DATA_TABLE">'shaft sizing example'!$B$29:$IV$29</definedName>
    <definedName name="reserve" localSheetId="3">planter!$B$29:$XFD$29</definedName>
    <definedName name="reserve">#REF!</definedName>
    <definedName name="rf" localSheetId="6">'Integrated Model'!$B$95:$XFD$95</definedName>
    <definedName name="rf">#REF!</definedName>
    <definedName name="rfo" localSheetId="6">'Integrated Model'!$B$17:$XFD$17</definedName>
    <definedName name="rfo">#REF!</definedName>
    <definedName name="rhoa">'[4]table &amp; plots'!$B$12:$IV$12</definedName>
    <definedName name="rhof" localSheetId="6">'Integrated Model'!$B$99:$XFD$99</definedName>
    <definedName name="rhof">#REF!</definedName>
    <definedName name="rhop">'[4]table &amp; plots'!$B$17:$IV$17</definedName>
    <definedName name="rhor" localSheetId="6">'Integrated Model'!$B$107:$XFD$107</definedName>
    <definedName name="rhor">#REF!</definedName>
    <definedName name="rhostar">'[4]table &amp; plots'!$B$35:$IV$35</definedName>
    <definedName name="rlf" localSheetId="6">'Integrated Model'!$B$81:$XFD$81</definedName>
    <definedName name="rlf">#REF!</definedName>
    <definedName name="rlr" localSheetId="6">'Integrated Model'!$B$85:$XFD$85</definedName>
    <definedName name="rlr">#REF!</definedName>
    <definedName name="RM" localSheetId="3">planter!$B$54:$XFD$54</definedName>
    <definedName name="RM" localSheetId="4">'Tractor Cost'!$B$22:$XFD$22</definedName>
    <definedName name="RM">#REF!</definedName>
    <definedName name="RPF_1" localSheetId="3">planter!$B$17:$XFD$17</definedName>
    <definedName name="RPF_1">#REF!</definedName>
    <definedName name="RPF_2" localSheetId="3">planter!$B$18:$XFD$18</definedName>
    <definedName name="RPF_2">#REF!</definedName>
    <definedName name="RPM50F">'[5]7610 get param'!$B$15:$XFD$15</definedName>
    <definedName name="RPM50R">'[5]7610 get param'!$B$17:$XFD$17</definedName>
    <definedName name="RPM75F">'[5]7610 get param'!$B$14:$XFD$14</definedName>
    <definedName name="RPM75R">'[5]7610 get param'!$B$16:$XFD$16</definedName>
    <definedName name="rr" localSheetId="6">'Integrated Model'!$B$104:$XFD$104</definedName>
    <definedName name="rr">#REF!</definedName>
    <definedName name="rro" localSheetId="6">'Integrated Model'!$B$22:$XFD$22</definedName>
    <definedName name="rro">#REF!</definedName>
    <definedName name="RV" localSheetId="3">planter!$B$37:$XFD$37</definedName>
    <definedName name="RV" localSheetId="4">'Tractor Cost'!$B$19:$XFD$19</definedName>
    <definedName name="RV">#REF!</definedName>
    <definedName name="S" localSheetId="3">planter!$B$8:$XFD$8</definedName>
    <definedName name="S" localSheetId="0">'shaft sizing example'!$B$21:$IV$21</definedName>
    <definedName name="S">'Ballast tool demo done'!$B$14:$XFD$14</definedName>
    <definedName name="Salv" localSheetId="3">planter!$B$38:$XFD$38</definedName>
    <definedName name="Salv">#REF!</definedName>
    <definedName name="SCnf">'Tractor Cost'!$B$39:$XFD$39</definedName>
    <definedName name="SCtot">'Tractor Cost'!$B$38:$XFD$38</definedName>
    <definedName name="sdp" localSheetId="6">'Integrated Model'!$B$51:$XFD$51</definedName>
    <definedName name="sdp">#REF!</definedName>
    <definedName name="sencount" hidden="1">1</definedName>
    <definedName name="SF">'[1]part 2 -- weights'!$B$6:$XFD$6</definedName>
    <definedName name="SFC" localSheetId="6">'Integrated Model'!$B$124:$XFD$124</definedName>
    <definedName name="SFC">planter!$B$48:$XFD$48</definedName>
    <definedName name="sg">'[5]common SFC'!$B$7:$XFD$7</definedName>
    <definedName name="shocktable">'shaft sizing example'!$G$23:$J$25</definedName>
    <definedName name="sl" localSheetId="6">'Integrated Model'!$B$55:$XFD$55</definedName>
    <definedName name="sl">#REF!</definedName>
    <definedName name="slf" localSheetId="6">'Integrated Model'!$B$97:$XFD$97</definedName>
    <definedName name="slf">#REF!</definedName>
    <definedName name="solver_adj" localSheetId="6" hidden="1">'Integrated Model'!$C$54:$C$56</definedName>
    <definedName name="solver_adj" localSheetId="3" hidden="1">planter!$C$2</definedName>
    <definedName name="solver_cvg" localSheetId="6" hidden="1">0.0001</definedName>
    <definedName name="solver_cvg" localSheetId="3" hidden="1">0.001</definedName>
    <definedName name="solver_drv" localSheetId="6" hidden="1">1</definedName>
    <definedName name="solver_drv" localSheetId="3" hidden="1">1</definedName>
    <definedName name="solver_eng" localSheetId="6" hidden="1">1</definedName>
    <definedName name="solver_eng" localSheetId="3" hidden="1">1</definedName>
    <definedName name="solver_est" localSheetId="6" hidden="1">1</definedName>
    <definedName name="solver_est" localSheetId="3" hidden="1">1</definedName>
    <definedName name="solver_itr" localSheetId="6" hidden="1">100</definedName>
    <definedName name="solver_itr" localSheetId="3" hidden="1">100</definedName>
    <definedName name="solver_lhs1" localSheetId="6" hidden="1">'Integrated Model'!$C$131</definedName>
    <definedName name="solver_lhs1" localSheetId="3" hidden="1">planter!$C$21</definedName>
    <definedName name="solver_lhs2" localSheetId="6" hidden="1">'Integrated Model'!$C$132</definedName>
    <definedName name="solver_lhs2" localSheetId="3" hidden="1">planter!$C$21</definedName>
    <definedName name="solver_lhs3" localSheetId="6" hidden="1">'Integrated Model'!$C$133</definedName>
    <definedName name="solver_lhs3" localSheetId="3" hidden="1">planter!$C$21</definedName>
    <definedName name="solver_lhs4" localSheetId="6" hidden="1">'Integrated Model'!$C$134</definedName>
    <definedName name="solver_lhs4" localSheetId="3" hidden="1">planter!$C$2</definedName>
    <definedName name="solver_lhs5" localSheetId="6" hidden="1">'Integrated Model'!$C$134</definedName>
    <definedName name="solver_lin" localSheetId="6" hidden="1">2</definedName>
    <definedName name="solver_lin" localSheetId="3" hidden="1">2</definedName>
    <definedName name="solver_mip" localSheetId="6" hidden="1">2147483647</definedName>
    <definedName name="solver_mip" localSheetId="3" hidden="1">2147483647</definedName>
    <definedName name="solver_mni" localSheetId="6" hidden="1">30</definedName>
    <definedName name="solver_mni" localSheetId="3" hidden="1">30</definedName>
    <definedName name="solver_mrt" localSheetId="6" hidden="1">0.075</definedName>
    <definedName name="solver_mrt" localSheetId="3" hidden="1">0.075</definedName>
    <definedName name="solver_msl" localSheetId="6" hidden="1">2</definedName>
    <definedName name="solver_msl" localSheetId="3" hidden="1">2</definedName>
    <definedName name="solver_neg" localSheetId="6" hidden="1">2</definedName>
    <definedName name="solver_neg" localSheetId="3" hidden="1">2</definedName>
    <definedName name="solver_nod" localSheetId="6" hidden="1">2147483647</definedName>
    <definedName name="solver_nod" localSheetId="3" hidden="1">2147483647</definedName>
    <definedName name="solver_num" localSheetId="6" hidden="1">4</definedName>
    <definedName name="solver_num" localSheetId="3" hidden="1">0</definedName>
    <definedName name="solver_nwt" localSheetId="6" hidden="1">1</definedName>
    <definedName name="solver_nwt" localSheetId="3" hidden="1">1</definedName>
    <definedName name="solver_opt" localSheetId="6" hidden="1">'Integrated Model'!$C$135</definedName>
    <definedName name="solver_opt" localSheetId="3" hidden="1">planter!$C$62</definedName>
    <definedName name="solver_pre" localSheetId="6" hidden="1">0.000001</definedName>
    <definedName name="solver_pre" localSheetId="3" hidden="1">0.000001</definedName>
    <definedName name="solver_rbv" localSheetId="6" hidden="1">1</definedName>
    <definedName name="solver_rbv" localSheetId="3" hidden="1">1</definedName>
    <definedName name="solver_rel1" localSheetId="6" hidden="1">2</definedName>
    <definedName name="solver_rel1" localSheetId="3" hidden="1">1</definedName>
    <definedName name="solver_rel2" localSheetId="6" hidden="1">2</definedName>
    <definedName name="solver_rel2" localSheetId="3" hidden="1">1</definedName>
    <definedName name="solver_rel3" localSheetId="6" hidden="1">2</definedName>
    <definedName name="solver_rel3" localSheetId="3" hidden="1">1</definedName>
    <definedName name="solver_rel4" localSheetId="6" hidden="1">2</definedName>
    <definedName name="solver_rel4" localSheetId="3" hidden="1">3</definedName>
    <definedName name="solver_rel5" localSheetId="6" hidden="1">2</definedName>
    <definedName name="solver_rhs1" localSheetId="6" hidden="1">0</definedName>
    <definedName name="solver_rhs1" localSheetId="3" hidden="1">20</definedName>
    <definedName name="solver_rhs2" localSheetId="6" hidden="1">0</definedName>
    <definedName name="solver_rhs2" localSheetId="3" hidden="1">20</definedName>
    <definedName name="solver_rhs3" localSheetId="6" hidden="1">0</definedName>
    <definedName name="solver_rhs3" localSheetId="3" hidden="1">20</definedName>
    <definedName name="solver_rhs4" localSheetId="6" hidden="1">0</definedName>
    <definedName name="solver_rhs4" localSheetId="3" hidden="1">15</definedName>
    <definedName name="solver_rhs5" localSheetId="6" hidden="1">0</definedName>
    <definedName name="solver_rlx" localSheetId="6" hidden="1">1</definedName>
    <definedName name="solver_rlx" localSheetId="3" hidden="1">1</definedName>
    <definedName name="solver_rsd" localSheetId="6" hidden="1">0</definedName>
    <definedName name="solver_rsd" localSheetId="3" hidden="1">0</definedName>
    <definedName name="solver_scl" localSheetId="6" hidden="1">2</definedName>
    <definedName name="solver_scl" localSheetId="3" hidden="1">2</definedName>
    <definedName name="solver_sho" localSheetId="6" hidden="1">2</definedName>
    <definedName name="solver_sho" localSheetId="3" hidden="1">2</definedName>
    <definedName name="solver_ssz" localSheetId="6" hidden="1">100</definedName>
    <definedName name="solver_ssz" localSheetId="3" hidden="1">100</definedName>
    <definedName name="solver_tim" localSheetId="6" hidden="1">100</definedName>
    <definedName name="solver_tim" localSheetId="3" hidden="1">100</definedName>
    <definedName name="solver_tol" localSheetId="6" hidden="1">0.05</definedName>
    <definedName name="solver_tol" localSheetId="3" hidden="1">0.05</definedName>
    <definedName name="solver_typ" localSheetId="6" hidden="1">2</definedName>
    <definedName name="solver_typ" localSheetId="3" hidden="1">2</definedName>
    <definedName name="solver_val" localSheetId="6" hidden="1">0</definedName>
    <definedName name="solver_val" localSheetId="3" hidden="1">0</definedName>
    <definedName name="solver_ver" localSheetId="6" hidden="1">3</definedName>
    <definedName name="solver_ver" localSheetId="3" hidden="1">3</definedName>
    <definedName name="Sp" localSheetId="4">'Tractor Cost'!$B$12:$XFD$12</definedName>
    <definedName name="SR">'[1]part 2 -- weights'!$B$7:$XFD$7</definedName>
    <definedName name="srd" localSheetId="6">'Integrated Model'!$B$39:$XFD$39</definedName>
    <definedName name="srd">#REF!</definedName>
    <definedName name="srfd" localSheetId="6">'Integrated Model'!$B$38:$XFD$38</definedName>
    <definedName name="srfd">#REF!</definedName>
    <definedName name="srfr" localSheetId="6">'Integrated Model'!$B$40:$XFD$40</definedName>
    <definedName name="srfr">#REF!</definedName>
    <definedName name="srt" localSheetId="6">'Integrated Model'!$B$37:$XFD$37</definedName>
    <definedName name="srt">#REF!</definedName>
    <definedName name="St">'Cycle Analysis'!$B$16:$IV$16</definedName>
    <definedName name="SV" localSheetId="4">'Tractor Cost'!$B$20:$XFD$20</definedName>
    <definedName name="SVFC50F">'[5]7610 get param'!$B$11:$XFD$11</definedName>
    <definedName name="SVFC50R">'[5]7610 get param'!$B$13:$XFD$13</definedName>
    <definedName name="SVFC75F">'[5]7610 get param'!$B$10:$XFD$10</definedName>
    <definedName name="SVFC75R">'[5]7610 get param'!$B$12:$XFD$12</definedName>
    <definedName name="T" localSheetId="7">'Cycle Analysis'!$B$47:$IV$47</definedName>
    <definedName name="T" localSheetId="3">planter!$B$10:$XFD$10</definedName>
    <definedName name="T">'shaft sizing example'!$B$11:$IV$11</definedName>
    <definedName name="TC" localSheetId="6">'Integrated Model'!#REF!</definedName>
    <definedName name="TC">#REF!</definedName>
    <definedName name="tc_1" localSheetId="6">'Integrated Model'!$B$72:$XFD$72</definedName>
    <definedName name="tc_1">#REF!</definedName>
    <definedName name="tc_2" localSheetId="6">'Integrated Model'!$B$73:$XFD$73</definedName>
    <definedName name="tc_2">#REF!</definedName>
    <definedName name="tc_3" localSheetId="6">'Integrated Model'!$B$74:$XFD$74</definedName>
    <definedName name="tc_3">#REF!</definedName>
    <definedName name="tc_4" localSheetId="6">'Integrated Model'!$B$75:$XFD$75</definedName>
    <definedName name="tc_4">#REF!</definedName>
    <definedName name="tc_5" localSheetId="6">'Integrated Model'!$B$76:$XFD$76</definedName>
    <definedName name="tc_5">#REF!</definedName>
    <definedName name="tc_6" localSheetId="6">'Integrated Model'!$B$77:$XFD$77</definedName>
    <definedName name="tc_6">#REF!</definedName>
    <definedName name="TE">'Integrated Model'!$B$126:$XFD$126</definedName>
    <definedName name="Teng" localSheetId="6">'Integrated Model'!$B$115:$XFD$115</definedName>
    <definedName name="Teng">#REF!</definedName>
    <definedName name="tfa">'Ballast tool demo done'!$B$23:$XFD$23</definedName>
    <definedName name="Tfax" localSheetId="6">'Integrated Model'!$B$113:$XFD$113</definedName>
    <definedName name="Tfax">#REF!</definedName>
    <definedName name="TFC" localSheetId="3">planter!$B$50:$XFD$50</definedName>
    <definedName name="TFC">#REF!</definedName>
    <definedName name="tfp">'Ballast tool demo done'!$B$20:$XFD$20</definedName>
    <definedName name="theta" localSheetId="6">'Integrated Model'!$B$9:$XFD$9</definedName>
    <definedName name="theta">#REF!</definedName>
    <definedName name="Tht_a">'Cycle Analysis'!$B$18:$IV$18</definedName>
    <definedName name="Tht_h">'Cycle Analysis'!$B$28:$IV$28</definedName>
    <definedName name="Tht_t">'Cycle Analysis'!$B$27:$IV$27</definedName>
    <definedName name="TI" localSheetId="3">planter!$B$53:$XFD$53</definedName>
    <definedName name="TI">#REF!</definedName>
    <definedName name="Ti_h">'Cycle Analysis'!$B$33:$IV$33</definedName>
    <definedName name="Ti_t">'Cycle Analysis'!$B$34:$IV$34</definedName>
    <definedName name="Ti_u">'Cycle Analysis'!$B$35:$IV$35</definedName>
    <definedName name="TIH" localSheetId="4">'Tractor Cost'!$B$10:$XFD$10</definedName>
    <definedName name="TIHa" localSheetId="4">'Tractor Cost'!$B$31:$XFD$31</definedName>
    <definedName name="TIME" localSheetId="3">planter!$B$58:$XFD$58</definedName>
    <definedName name="TIME">#REF!</definedName>
    <definedName name="Tipct" localSheetId="3">planter!$B$28:$XFD$28</definedName>
    <definedName name="Tipct">#REF!</definedName>
    <definedName name="tires">'Integrated Model'!$J$2:$K$10</definedName>
    <definedName name="tk_1" localSheetId="6">'Integrated Model'!$B$70:$XFD$70</definedName>
    <definedName name="tk_1">#REF!</definedName>
    <definedName name="tk_2" localSheetId="6">'Integrated Model'!$B$71:$XFD$71</definedName>
    <definedName name="tk_2">#REF!</definedName>
    <definedName name="tk_3" localSheetId="6">'Integrated Model'!$B$76:$XFD$76</definedName>
    <definedName name="tk_3">#REF!</definedName>
    <definedName name="Tmli" localSheetId="6">'Integrated Model'!$B$30:$XFD$30</definedName>
    <definedName name="Tmli">#REF!</definedName>
    <definedName name="Tmls" localSheetId="6">'Integrated Model'!$B$30:$XFD$30</definedName>
    <definedName name="Tmls">#REF!</definedName>
    <definedName name="Tmx" localSheetId="6">'Integrated Model'!$B$62:$XFD$62</definedName>
    <definedName name="Tmx">#REF!</definedName>
    <definedName name="Tmxts" localSheetId="6">'Integrated Model'!#REF!</definedName>
    <definedName name="Tmxts">#REF!</definedName>
    <definedName name="to">'[6]ballast 1'!$B$4:$XFD$4</definedName>
    <definedName name="tra">'Ballast tool demo done'!$B$24:$XFD$24</definedName>
    <definedName name="Track">'Tractor Cost'!$B$67:$XFD$67</definedName>
    <definedName name="TRACT" localSheetId="3">planter!$B$52:$XFD$52</definedName>
    <definedName name="TRACT">#REF!</definedName>
    <definedName name="TRACTION___TRANSMISSION" localSheetId="6">'Integrated Model'!$B$88:$XFD$88</definedName>
    <definedName name="TRACTION___TRANSMISSION">#REF!</definedName>
    <definedName name="TRACTOR" localSheetId="6">'Integrated Model'!$B$2:$XFD$2</definedName>
    <definedName name="TRACTOR">#REF!</definedName>
    <definedName name="TRANSMISSION" localSheetId="6">'Integrated Model'!$B$35:$XFD$35</definedName>
    <definedName name="TRANSMISSION">#REF!</definedName>
    <definedName name="Transport">'Cycle Analysis'!$B$13:$IV$13</definedName>
    <definedName name="Trax" localSheetId="6">'Integrated Model'!$B$112:$XFD$112</definedName>
    <definedName name="Trax">#REF!</definedName>
    <definedName name="Treng" localSheetId="6">'Integrated Model'!$B$61:$XFD$61</definedName>
    <definedName name="Treng">#REF!</definedName>
    <definedName name="TRF">'[1]part 2 -- weights'!$B$9:$XFD$9</definedName>
    <definedName name="TRh">'Cycle Analysis'!$B$11:$IV$11</definedName>
    <definedName name="Trise" localSheetId="6">'Integrated Model'!$B$27:$XFD$27</definedName>
    <definedName name="Trise">#REF!</definedName>
    <definedName name="ts" localSheetId="6">'Integrated Model'!$B$24:$XFD$24</definedName>
    <definedName name="ts">#REF!</definedName>
    <definedName name="tt" localSheetId="2">'Ballast tool demo done'!$B$12:$XFD$12</definedName>
    <definedName name="Tt">'Cycle Analysis'!$B$26:$IV$26</definedName>
    <definedName name="Ttu_a">'Cycle Analysis'!$B$19:$IV$19</definedName>
    <definedName name="Ttu_u">'Cycle Analysis'!$B$25:$IV$25</definedName>
    <definedName name="ttw">'Ballast tool demo done'!$B$19:$XFD$19</definedName>
    <definedName name="Uh">'Cycle Analysis'!$B$39:$IV$39</definedName>
    <definedName name="UL">'Cycle Analysis'!$B$44:$IV$44</definedName>
    <definedName name="Unloader">'Cycle Analysis'!$B$20:$IV$20</definedName>
    <definedName name="Uta">'Cycle Analysis'!$B$40:$IV$40</definedName>
    <definedName name="Utb">'Cycle Analysis'!$B$41:$IV$41</definedName>
    <definedName name="Uua">'Cycle Analysis'!$B$42:$IV$42</definedName>
    <definedName name="Uub">'Cycle Analysis'!$B$43:$IV$43</definedName>
    <definedName name="V" localSheetId="3">planter!$B$20:$XFD$20</definedName>
    <definedName name="V">#REF!</definedName>
    <definedName name="Va" localSheetId="6">'Integrated Model'!$B$92:$XFD$92</definedName>
    <definedName name="Va">#REF!</definedName>
    <definedName name="Vc">'Cycle Analysis'!$B$24:$IV$24</definedName>
    <definedName name="Vh">'Cycle Analysis'!$B$9:$IV$9</definedName>
    <definedName name="Vphi">'[4]table &amp; plots'!$B$25:$IV$25</definedName>
    <definedName name="Vsol">'[4]table &amp; plots'!$B$33:$IV$33</definedName>
    <definedName name="Vt" localSheetId="7">'Cycle Analysis'!$B$14:$IV$14</definedName>
    <definedName name="Vt" localSheetId="6">'Integrated Model'!$B$90:$XFD$90</definedName>
    <definedName name="Vt">#REF!</definedName>
    <definedName name="Vuse">'[4]table &amp; plots'!$B$26:$IV$26</definedName>
    <definedName name="W" localSheetId="3">planter!$B$2:$XFD$2</definedName>
    <definedName name="W">#REF!</definedName>
    <definedName name="wb" localSheetId="6">'Integrated Model'!$B$8:$XFD$8</definedName>
    <definedName name="wb">#REF!</definedName>
    <definedName name="wfa">#REF!</definedName>
    <definedName name="wi" localSheetId="6">'Integrated Model'!$B$46:$XFD$46</definedName>
    <definedName name="wi">#REF!</definedName>
    <definedName name="Wper" localSheetId="3">planter!$B$3:$XFD$3</definedName>
    <definedName name="Wper">#REF!</definedName>
    <definedName name="wpr">'Ballast tool demo done'!$B$18:$XFD$18</definedName>
    <definedName name="wt">#REF!</definedName>
    <definedName name="Wuse" localSheetId="3">planter!$B$42:$XFD$42</definedName>
    <definedName name="Wuse">#REF!</definedName>
    <definedName name="X" localSheetId="6">'Integrated Model'!$B$121:$XFD$121</definedName>
    <definedName name="X">#REF!</definedName>
    <definedName name="X50F">'[5]7610 get param'!$B$21:$XFD$21</definedName>
    <definedName name="X50R">'[5]7610 get param'!$B$23:$XFD$23</definedName>
    <definedName name="X75F">'[5]7610 get param'!$B$20:$XFD$20</definedName>
    <definedName name="X75R">'[5]7610 get param'!$B$22:$XFD$22</definedName>
    <definedName name="Xcg" localSheetId="6">'Integrated Model'!$B$69:$XFD$69</definedName>
    <definedName name="Xcg">#REF!</definedName>
    <definedName name="Xdb" localSheetId="6">'Integrated Model'!$B$10:$XFD$10</definedName>
    <definedName name="Xdb">#REF!</definedName>
    <definedName name="Xfw">'[1]part 2 -- weights'!$B$4:$XFD$4</definedName>
    <definedName name="Xrw">'[1]part 2 -- weights'!$B$5:$XFD$5</definedName>
    <definedName name="Xwb">'[1]part 2 -- weights'!$B$3:$XFD$3</definedName>
    <definedName name="Y" localSheetId="7">'Cycle Analysis'!$B$5:$IV$5</definedName>
    <definedName name="Y" localSheetId="3">planter!$B$19:$XFD$19</definedName>
    <definedName name="Y">#REF!</definedName>
    <definedName name="Ydb" localSheetId="6">'Integrated Model'!$B$11:$XFD$11</definedName>
    <definedName name="Ydb">#REF!</definedName>
    <definedName name="Year" localSheetId="3">planter!$B$67:$XFD$67</definedName>
    <definedName name="Year">#REF!</definedName>
    <definedName name="YS">'shaft sizing example'!$B$8:$IV$8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18" l="1"/>
  <c r="C18" i="18"/>
  <c r="C19" i="18" s="1"/>
  <c r="C23" i="18" l="1"/>
  <c r="C24" i="18" s="1"/>
  <c r="I61" i="9" l="1"/>
  <c r="I59" i="9"/>
  <c r="I58" i="9"/>
  <c r="I57" i="9"/>
  <c r="I56" i="9"/>
  <c r="I55" i="9"/>
  <c r="D49" i="9"/>
  <c r="I60" i="9" s="1"/>
  <c r="H46" i="9"/>
  <c r="H45" i="9"/>
  <c r="H44" i="9"/>
  <c r="C36" i="11" l="1"/>
  <c r="C28" i="11"/>
  <c r="C27" i="11"/>
  <c r="C26" i="11"/>
  <c r="C25" i="11"/>
  <c r="C31" i="11" s="1"/>
  <c r="C24" i="11"/>
  <c r="E52" i="9"/>
  <c r="F49" i="9"/>
  <c r="F46" i="9"/>
  <c r="E46" i="9"/>
  <c r="F45" i="9"/>
  <c r="E45" i="9"/>
  <c r="F44" i="9"/>
  <c r="E44" i="9"/>
  <c r="E41" i="9"/>
  <c r="E40" i="9"/>
  <c r="E54" i="9" l="1"/>
  <c r="F54" i="9"/>
  <c r="C29" i="11"/>
  <c r="C30" i="11"/>
  <c r="D63" i="10"/>
  <c r="F63" i="10" s="1"/>
  <c r="H63" i="10" s="1"/>
  <c r="C63" i="10"/>
  <c r="E63" i="10" s="1"/>
  <c r="G63" i="10" s="1"/>
  <c r="D62" i="10"/>
  <c r="F62" i="10" s="1"/>
  <c r="H62" i="10" s="1"/>
  <c r="C62" i="10"/>
  <c r="E62" i="10" s="1"/>
  <c r="G62" i="10" s="1"/>
  <c r="D61" i="10"/>
  <c r="F61" i="10" s="1"/>
  <c r="H61" i="10" s="1"/>
  <c r="C61" i="10"/>
  <c r="E61" i="10" s="1"/>
  <c r="G61" i="10" s="1"/>
  <c r="D60" i="10"/>
  <c r="F60" i="10" s="1"/>
  <c r="H60" i="10" s="1"/>
  <c r="C60" i="10"/>
  <c r="E60" i="10" s="1"/>
  <c r="G60" i="10" s="1"/>
  <c r="D59" i="10"/>
  <c r="F59" i="10" s="1"/>
  <c r="H59" i="10" s="1"/>
  <c r="C59" i="10"/>
  <c r="E59" i="10" s="1"/>
  <c r="G59" i="10" s="1"/>
  <c r="D58" i="10"/>
  <c r="F58" i="10" s="1"/>
  <c r="H58" i="10" s="1"/>
  <c r="C58" i="10"/>
  <c r="E58" i="10" s="1"/>
  <c r="G58" i="10" s="1"/>
  <c r="D57" i="10"/>
  <c r="F57" i="10" s="1"/>
  <c r="H57" i="10" s="1"/>
  <c r="C57" i="10"/>
  <c r="E57" i="10" s="1"/>
  <c r="G57" i="10" s="1"/>
  <c r="D56" i="10"/>
  <c r="F56" i="10" s="1"/>
  <c r="H56" i="10" s="1"/>
  <c r="C56" i="10"/>
  <c r="E56" i="10" s="1"/>
  <c r="G56" i="10" s="1"/>
  <c r="D55" i="10"/>
  <c r="F55" i="10" s="1"/>
  <c r="H55" i="10" s="1"/>
  <c r="C55" i="10"/>
  <c r="E55" i="10" s="1"/>
  <c r="G55" i="10" s="1"/>
  <c r="D54" i="10"/>
  <c r="F54" i="10" s="1"/>
  <c r="H54" i="10" s="1"/>
  <c r="C54" i="10"/>
  <c r="E54" i="10" s="1"/>
  <c r="G54" i="10" s="1"/>
  <c r="D53" i="10"/>
  <c r="F53" i="10" s="1"/>
  <c r="H53" i="10" s="1"/>
  <c r="C53" i="10"/>
  <c r="E53" i="10" s="1"/>
  <c r="G53" i="10" s="1"/>
  <c r="D52" i="10"/>
  <c r="F52" i="10" s="1"/>
  <c r="H52" i="10" s="1"/>
  <c r="C52" i="10"/>
  <c r="E52" i="10" s="1"/>
  <c r="G52" i="10" s="1"/>
  <c r="D51" i="10"/>
  <c r="F51" i="10" s="1"/>
  <c r="H51" i="10" s="1"/>
  <c r="C51" i="10"/>
  <c r="E51" i="10" s="1"/>
  <c r="G51" i="10" s="1"/>
  <c r="D50" i="10"/>
  <c r="F50" i="10" s="1"/>
  <c r="H50" i="10" s="1"/>
  <c r="C50" i="10"/>
  <c r="E50" i="10" s="1"/>
  <c r="G50" i="10" s="1"/>
  <c r="D49" i="10"/>
  <c r="F49" i="10" s="1"/>
  <c r="H49" i="10" s="1"/>
  <c r="C49" i="10"/>
  <c r="E49" i="10" s="1"/>
  <c r="G49" i="10" s="1"/>
  <c r="D28" i="10"/>
  <c r="C28" i="10"/>
  <c r="D23" i="10"/>
  <c r="C23" i="10"/>
  <c r="D18" i="10"/>
  <c r="D17" i="10"/>
  <c r="D48" i="10" s="1"/>
  <c r="B88" i="8"/>
  <c r="C88" i="8" s="1"/>
  <c r="D88" i="8" s="1"/>
  <c r="B87" i="8"/>
  <c r="C87" i="8" s="1"/>
  <c r="D87" i="8" s="1"/>
  <c r="B86" i="8"/>
  <c r="C86" i="8" s="1"/>
  <c r="D86" i="8" s="1"/>
  <c r="B85" i="8"/>
  <c r="C85" i="8" s="1"/>
  <c r="D85" i="8" s="1"/>
  <c r="B84" i="8"/>
  <c r="C84" i="8" s="1"/>
  <c r="D84" i="8" s="1"/>
  <c r="B83" i="8"/>
  <c r="C83" i="8" s="1"/>
  <c r="D83" i="8" s="1"/>
  <c r="B82" i="8"/>
  <c r="C82" i="8" s="1"/>
  <c r="D82" i="8" s="1"/>
  <c r="B81" i="8"/>
  <c r="C81" i="8" s="1"/>
  <c r="D81" i="8" s="1"/>
  <c r="B80" i="8"/>
  <c r="C80" i="8" s="1"/>
  <c r="D80" i="8" s="1"/>
  <c r="B79" i="8"/>
  <c r="C79" i="8" s="1"/>
  <c r="D79" i="8" s="1"/>
  <c r="B78" i="8"/>
  <c r="C78" i="8" s="1"/>
  <c r="D78" i="8" s="1"/>
  <c r="B77" i="8"/>
  <c r="C77" i="8" s="1"/>
  <c r="D77" i="8" s="1"/>
  <c r="B76" i="8"/>
  <c r="C76" i="8" s="1"/>
  <c r="D76" i="8" s="1"/>
  <c r="B75" i="8"/>
  <c r="C75" i="8" s="1"/>
  <c r="D75" i="8" s="1"/>
  <c r="C42" i="8"/>
  <c r="C34" i="8"/>
  <c r="C23" i="8"/>
  <c r="F7" i="8"/>
  <c r="F8" i="8" s="1"/>
  <c r="F9" i="8" s="1"/>
  <c r="F10" i="8" s="1"/>
  <c r="F11" i="8" s="1"/>
  <c r="F12" i="8" s="1"/>
  <c r="F13" i="8" s="1"/>
  <c r="F14" i="8" s="1"/>
  <c r="F15" i="8" s="1"/>
  <c r="H5" i="8"/>
  <c r="I5" i="8" s="1"/>
  <c r="J5" i="8" l="1"/>
  <c r="K5" i="8" s="1"/>
  <c r="D24" i="10"/>
  <c r="D27" i="10" s="1"/>
  <c r="C32" i="11"/>
  <c r="C34" i="11" s="1"/>
  <c r="D19" i="10"/>
  <c r="D20" i="10" s="1"/>
  <c r="D21" i="10" s="1"/>
  <c r="D25" i="10"/>
  <c r="D29" i="10" s="1"/>
  <c r="D31" i="10"/>
  <c r="D47" i="10"/>
  <c r="F48" i="10" s="1"/>
  <c r="H48" i="10" s="1"/>
  <c r="D45" i="10"/>
  <c r="D44" i="10"/>
  <c r="F44" i="10" s="1"/>
  <c r="H44" i="10" s="1"/>
  <c r="D46" i="10"/>
  <c r="D26" i="10" l="1"/>
  <c r="D30" i="10" s="1"/>
  <c r="D35" i="10" s="1"/>
  <c r="F46" i="10"/>
  <c r="H46" i="10" s="1"/>
  <c r="C42" i="11"/>
  <c r="C41" i="11"/>
  <c r="C35" i="11"/>
  <c r="C43" i="11"/>
  <c r="C40" i="11"/>
  <c r="C39" i="11"/>
  <c r="C49" i="11"/>
  <c r="G55" i="11" s="1"/>
  <c r="C33" i="11"/>
  <c r="F45" i="10"/>
  <c r="H45" i="10" s="1"/>
  <c r="F47" i="10"/>
  <c r="H47" i="10" s="1"/>
  <c r="H64" i="10" l="1"/>
  <c r="D22" i="10" s="1"/>
  <c r="D34" i="10" s="1"/>
  <c r="D37" i="10" s="1"/>
  <c r="D39" i="10" s="1"/>
  <c r="C55" i="11"/>
  <c r="C45" i="11"/>
  <c r="C37" i="11"/>
  <c r="C44" i="11" s="1"/>
  <c r="D55" i="11" s="1"/>
  <c r="D36" i="10" l="1"/>
  <c r="D38" i="10" s="1"/>
  <c r="C46" i="11"/>
  <c r="C47" i="11"/>
  <c r="E55" i="11" l="1"/>
  <c r="C48" i="11"/>
  <c r="F55" i="11" s="1"/>
  <c r="C43" i="8"/>
  <c r="C44" i="8" s="1"/>
  <c r="C53" i="8"/>
  <c r="C55" i="8"/>
  <c r="F55" i="8" s="1"/>
  <c r="C36" i="8"/>
  <c r="C41" i="8" l="1"/>
  <c r="C37" i="8"/>
  <c r="C38" i="8" s="1"/>
  <c r="C56" i="8"/>
  <c r="F56" i="8" s="1"/>
  <c r="B71" i="8"/>
  <c r="B72" i="8"/>
  <c r="B69" i="8"/>
  <c r="C69" i="8" s="1"/>
  <c r="D69" i="8" s="1"/>
  <c r="B73" i="8"/>
  <c r="B74" i="8"/>
  <c r="B70" i="8"/>
  <c r="C45" i="8"/>
  <c r="C70" i="8" l="1"/>
  <c r="D70" i="8" s="1"/>
  <c r="C72" i="8"/>
  <c r="D72" i="8" s="1"/>
  <c r="C46" i="8"/>
  <c r="C74" i="8"/>
  <c r="D74" i="8" s="1"/>
  <c r="C71" i="8"/>
  <c r="D71" i="8" s="1"/>
  <c r="C73" i="8"/>
  <c r="D73" i="8" s="1"/>
  <c r="C39" i="8"/>
  <c r="C57" i="8"/>
  <c r="F57" i="8" s="1"/>
  <c r="C48" i="8" l="1"/>
  <c r="C49" i="8" s="1"/>
  <c r="C50" i="8" s="1"/>
  <c r="D89" i="8"/>
  <c r="C54" i="8" s="1"/>
  <c r="C58" i="8"/>
  <c r="F58" i="8" s="1"/>
  <c r="C40" i="8"/>
  <c r="C18" i="10"/>
  <c r="C17" i="10"/>
  <c r="C48" i="10" s="1"/>
  <c r="C23" i="6"/>
  <c r="C22" i="6"/>
  <c r="C26" i="6" l="1"/>
  <c r="D33" i="6" s="1"/>
  <c r="C47" i="10"/>
  <c r="E48" i="10" s="1"/>
  <c r="G48" i="10" s="1"/>
  <c r="C46" i="10"/>
  <c r="C45" i="10"/>
  <c r="C51" i="8"/>
  <c r="C24" i="10"/>
  <c r="C19" i="10"/>
  <c r="C20" i="10" s="1"/>
  <c r="C21" i="10" s="1"/>
  <c r="C25" i="10"/>
  <c r="C29" i="10" s="1"/>
  <c r="C31" i="10"/>
  <c r="C44" i="10"/>
  <c r="E44" i="10" s="1"/>
  <c r="G44" i="10" s="1"/>
  <c r="C10" i="2"/>
  <c r="C11" i="2"/>
  <c r="C14" i="2"/>
  <c r="C16" i="2"/>
  <c r="C17" i="2"/>
  <c r="C19" i="2"/>
  <c r="C21" i="2"/>
  <c r="C22" i="2"/>
  <c r="C40" i="2"/>
  <c r="C60" i="2"/>
  <c r="C61" i="2" s="1"/>
  <c r="C70" i="2"/>
  <c r="C71" i="2"/>
  <c r="C72" i="2"/>
  <c r="C73" i="2"/>
  <c r="C74" i="2"/>
  <c r="C75" i="2"/>
  <c r="C76" i="2"/>
  <c r="C77" i="2"/>
  <c r="C78" i="2"/>
  <c r="C80" i="2" s="1"/>
  <c r="C82" i="2"/>
  <c r="C83" i="2" s="1"/>
  <c r="C89" i="2"/>
  <c r="C91" i="2" s="1"/>
  <c r="C94" i="2"/>
  <c r="C97" i="2"/>
  <c r="C84" i="2" l="1"/>
  <c r="C79" i="2"/>
  <c r="E47" i="10"/>
  <c r="G47" i="10" s="1"/>
  <c r="E46" i="10"/>
  <c r="G46" i="10" s="1"/>
  <c r="C26" i="10"/>
  <c r="C30" i="10" s="1"/>
  <c r="C27" i="10"/>
  <c r="E45" i="10"/>
  <c r="G45" i="10" s="1"/>
  <c r="C81" i="2"/>
  <c r="C85" i="2"/>
  <c r="C90" i="2" s="1"/>
  <c r="C92" i="2" s="1"/>
  <c r="C128" i="2" s="1"/>
  <c r="C63" i="2"/>
  <c r="C62" i="2"/>
  <c r="C69" i="2"/>
  <c r="C95" i="2" s="1"/>
  <c r="G64" i="10" l="1"/>
  <c r="C22" i="10" s="1"/>
  <c r="C34" i="10" s="1"/>
  <c r="C37" i="10" s="1"/>
  <c r="C39" i="10" s="1"/>
  <c r="C35" i="10"/>
  <c r="C93" i="2"/>
  <c r="C104" i="2"/>
  <c r="C96" i="2"/>
  <c r="C66" i="2"/>
  <c r="C67" i="2" s="1"/>
  <c r="C64" i="2"/>
  <c r="C65" i="2" s="1"/>
  <c r="C36" i="10" l="1"/>
  <c r="C38" i="10" s="1"/>
  <c r="C52" i="8" s="1"/>
  <c r="C61" i="8" s="1"/>
  <c r="C62" i="8" s="1"/>
  <c r="F5" i="8" s="1"/>
  <c r="C99" i="2"/>
  <c r="C103" i="2"/>
  <c r="C105" i="2" s="1"/>
  <c r="C98" i="2"/>
  <c r="C107" i="2" l="1"/>
  <c r="C106" i="2"/>
  <c r="C100" i="2"/>
  <c r="C113" i="2"/>
  <c r="C108" i="2" l="1"/>
  <c r="C112" i="2"/>
  <c r="C115" i="2" s="1"/>
  <c r="C101" i="2"/>
  <c r="C102" i="2"/>
  <c r="C116" i="2" l="1"/>
  <c r="C117" i="2"/>
  <c r="C131" i="2"/>
  <c r="C118" i="2"/>
  <c r="C125" i="2"/>
  <c r="C126" i="2" s="1"/>
  <c r="C110" i="2"/>
  <c r="C109" i="2"/>
  <c r="C111" i="2" s="1"/>
  <c r="C119" i="2" l="1"/>
  <c r="C120" i="2" s="1"/>
  <c r="C121" i="2" s="1"/>
  <c r="C134" i="2"/>
  <c r="C133" i="2"/>
  <c r="C122" i="2" l="1"/>
  <c r="C132" i="2"/>
  <c r="C135" i="2" s="1"/>
  <c r="C123" i="2"/>
  <c r="C129" i="2" s="1"/>
  <c r="C124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Pennsylvania State University</author>
  </authors>
  <commentList>
    <comment ref="A3" authorId="0" shapeId="0" xr:uid="{CF6CFB73-DCE8-40CF-93B7-2BCF1D23C85A}">
      <text>
        <r>
          <rPr>
            <b/>
            <sz val="8"/>
            <color indexed="81"/>
            <rFont val="Tahoma"/>
            <family val="2"/>
          </rPr>
          <t>1. Proper shaft diameter for a torque transmitting shaft is a function of yield strength of the material used, a factor of safety, maximum bending moment in the shaft, shaft torque, and shock level.  This problem is used as a simple example to illustrate good spreadsheeting habits.  Comments explain the spreadsheet set-up.  The text box below describes a good problem solving technique.</t>
        </r>
      </text>
    </comment>
    <comment ref="A5" authorId="0" shapeId="0" xr:uid="{898E0169-A524-41F9-94AC-FF38C26E9031}">
      <text>
        <r>
          <rPr>
            <b/>
            <sz val="8"/>
            <color indexed="81"/>
            <rFont val="Tahoma"/>
            <family val="2"/>
          </rPr>
          <t>2. Column A  contains the variable name in abbreviated form.  Perhaps it would be the mathematical notation for the variable.  If "accept labels in formulas" is chosen from the tools/options/calculation menu, these labels can be used in formulas of column c.  Alternatively, highlight all rows containing variables and use Insert/Name/Create choosing names in left column.</t>
        </r>
      </text>
    </comment>
    <comment ref="B5" authorId="0" shapeId="0" xr:uid="{32FE35E5-D38D-49EF-95F7-3D98F9EC0AB6}">
      <text>
        <r>
          <rPr>
            <b/>
            <sz val="8"/>
            <color indexed="81"/>
            <rFont val="Tahoma"/>
            <family val="2"/>
          </rPr>
          <t>3. Column B contains the full description which would clearly explain the variable to anyone knowledgeable in the subject matter.</t>
        </r>
      </text>
    </comment>
    <comment ref="C5" authorId="0" shapeId="0" xr:uid="{BA651813-2892-4731-94E6-49A52D934254}">
      <text>
        <r>
          <rPr>
            <b/>
            <sz val="8"/>
            <color indexed="81"/>
            <rFont val="Tahoma"/>
            <family val="2"/>
          </rPr>
          <t>4. Column C contains the value of the variable.  Either it is an input from the user or computed from inputs using formulas.  In formulas (see comment 2), abbreviations from column A can be used.  For example, the formula in C26 refers to Kt and Km rather than C22 and C23; this improves readability &amp; troubleshooting.</t>
        </r>
      </text>
    </comment>
    <comment ref="D5" authorId="0" shapeId="0" xr:uid="{D510A076-8F09-4F6D-9C1E-45B9C4C08AC8}">
      <text>
        <r>
          <rPr>
            <b/>
            <sz val="8"/>
            <color indexed="81"/>
            <rFont val="Tahoma"/>
            <family val="2"/>
          </rPr>
          <t>5. Column D contains units because the numbers in column C would be meaningless without units.</t>
        </r>
      </text>
    </comment>
    <comment ref="E5" authorId="0" shapeId="0" xr:uid="{CBBC899C-A13D-475F-8F2F-9392ACBB6C29}">
      <text>
        <r>
          <rPr>
            <b/>
            <sz val="8"/>
            <color indexed="81"/>
            <rFont val="Tahoma"/>
            <family val="2"/>
          </rPr>
          <t>6. Column E contains notes documenting the basis of values in column C.  It might be an equation or a reference to a method or source.  Of course comments such as this can also be used as supplementary information.</t>
        </r>
      </text>
    </comment>
    <comment ref="A7" authorId="0" shapeId="0" xr:uid="{1E66D31D-0DD3-4CA3-814A-ED508905E1D8}">
      <text>
        <r>
          <rPr>
            <b/>
            <sz val="8"/>
            <color indexed="81"/>
            <rFont val="Tahoma"/>
            <family val="2"/>
          </rPr>
          <t>7. INPUTS to all computations are put at the top to keep the spreadsheet reading top down.  These are needed for any computations which follow.</t>
        </r>
      </text>
    </comment>
    <comment ref="A20" authorId="0" shapeId="0" xr:uid="{BA5ED95A-A4D3-4037-9903-C1533F75A6F6}">
      <text>
        <r>
          <rPr>
            <b/>
            <sz val="8"/>
            <color indexed="81"/>
            <rFont val="Tahoma"/>
            <family val="2"/>
          </rPr>
          <t>8. INTERMEDIATE CALCULATIONS are those needed "on the way" to the answer.  They are mid-way towards the "bottom line" answer.</t>
        </r>
      </text>
    </comment>
    <comment ref="G20" authorId="0" shapeId="0" xr:uid="{9B187A60-86F8-4C55-AADE-29F3293759C9}">
      <text>
        <r>
          <rPr>
            <b/>
            <sz val="8"/>
            <color indexed="81"/>
            <rFont val="Tahoma"/>
            <family val="2"/>
          </rPr>
          <t xml:space="preserve">Source: Machine Design for Mobile and Industrial Applications, 2nd ed. Appendix </t>
        </r>
      </text>
    </comment>
    <comment ref="A25" authorId="0" shapeId="0" xr:uid="{C98C5247-0388-40B0-A255-1727CD38AB0F}">
      <text>
        <r>
          <rPr>
            <b/>
            <sz val="8"/>
            <color indexed="81"/>
            <rFont val="Tahoma"/>
            <family val="2"/>
          </rPr>
          <t>9. OUTPUTS should appear at the bottom so computations flow top to bottom.  They, as with everything else, are clearly labeled with units and documentation.</t>
        </r>
      </text>
    </comment>
    <comment ref="C26" authorId="0" shapeId="0" xr:uid="{EC1B7CED-316E-4CCD-84AE-78A95B7C493D}">
      <text>
        <r>
          <rPr>
            <b/>
            <sz val="8"/>
            <color indexed="81"/>
            <rFont val="Tahoma"/>
            <family val="2"/>
          </rPr>
          <t>Source: Machine Design for Mobile and Industrial Applications, 2nd ed. equation 4.25</t>
        </r>
      </text>
    </comment>
    <comment ref="B31" authorId="0" shapeId="0" xr:uid="{39E2601C-B4F0-45FC-B6E7-EB197917423F}">
      <text>
        <r>
          <rPr>
            <b/>
            <sz val="8"/>
            <color indexed="81"/>
            <rFont val="Tahoma"/>
            <family val="2"/>
          </rPr>
          <t>13. Contents of B34:B55 are not needed for the data table, but are included here as meaningful labels to associate with the varied YS values which are in the range C34:C55.  C34:C55 contains the inputs for the data table.</t>
        </r>
      </text>
    </comment>
    <comment ref="C33" authorId="0" shapeId="0" xr:uid="{0594EDD7-01E2-4291-9FD9-479A872C4B46}">
      <text>
        <r>
          <rPr>
            <b/>
            <sz val="8"/>
            <color indexed="81"/>
            <rFont val="Tahoma"/>
            <family val="2"/>
          </rPr>
          <t>11. Contents of this column are the varied inputs we wish to evaluate. After highlighting the colored cells (C33:D55 which is the data table), choose Data Table from the menu and select C8 as the column input cell.  In this example, this range of C33:C55 is the column of inputs to effectively place into C8 one at a time for repetitive evaluation.</t>
        </r>
      </text>
    </comment>
    <comment ref="D33" authorId="0" shapeId="0" xr:uid="{B01A8DE4-81D2-430C-AE2C-DD2021FD1F9B}">
      <text>
        <r>
          <rPr>
            <b/>
            <sz val="8"/>
            <color indexed="81"/>
            <rFont val="Tahoma"/>
            <family val="2"/>
          </rPr>
          <t>10. Data tables allow you to generate multiple solutions to the same problem (varied inputs, of course) very neatly.  Shown here is a 1-output data table with a column of inputs.  This cell in the top right corner of the data table points to the location of the "answer".; consider this the setup cell.  For this example, D33 contains "=C26".</t>
        </r>
      </text>
    </comment>
    <comment ref="D34" authorId="0" shapeId="0" xr:uid="{E87DE6F1-80D3-4109-A422-4E5FEA1BE4C0}">
      <text>
        <r>
          <rPr>
            <b/>
            <sz val="8"/>
            <color indexed="81"/>
            <rFont val="Tahoma"/>
            <family val="2"/>
          </rPr>
          <t>12. The formula within the data table appears as "=TABLE(,C8)".  Excel puts this in as you follow directions from comments 10 &amp; 11.  If you make an error, delete ALL of the cells with this formula, then start again; you cannot change only part of a data table.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 Buckmaster</author>
  </authors>
  <commentList>
    <comment ref="A4" authorId="0" shapeId="0" xr:uid="{50CFC8D4-8B66-47F5-BBE7-4C02D2D23EE8}">
      <text>
        <r>
          <rPr>
            <b/>
            <sz val="8"/>
            <color indexed="81"/>
            <rFont val="Tahoma"/>
            <family val="2"/>
          </rPr>
          <t>one or few letter abbreviation for variables which can be used as names in formulas below</t>
        </r>
      </text>
    </comment>
    <comment ref="B4" authorId="0" shapeId="0" xr:uid="{B995AC4F-F716-48F6-B325-C607A7D4A8AF}">
      <text>
        <r>
          <rPr>
            <b/>
            <sz val="8"/>
            <color indexed="81"/>
            <rFont val="Tahoma"/>
            <family val="2"/>
          </rPr>
          <t>more text to describe the abbreviations used in column A which can be used as names in formulas below</t>
        </r>
      </text>
    </comment>
    <comment ref="C4" authorId="0" shapeId="0" xr:uid="{A4411F13-4F91-4868-9041-9702544F54AE}">
      <text>
        <r>
          <rPr>
            <b/>
            <sz val="8"/>
            <color indexed="81"/>
            <rFont val="Tahoma"/>
            <family val="2"/>
          </rPr>
          <t>numbers in the inputs, always formulas in intermediate calculations and outputs</t>
        </r>
      </text>
    </comment>
    <comment ref="D4" authorId="0" shapeId="0" xr:uid="{3C97A72E-97EB-47CA-8A45-A36E531E18E1}">
      <text>
        <r>
          <rPr>
            <b/>
            <sz val="8"/>
            <color indexed="81"/>
            <rFont val="Tahoma"/>
            <family val="2"/>
          </rPr>
          <t>Units of the number to the left</t>
        </r>
      </text>
    </comment>
    <comment ref="E4" authorId="0" shapeId="0" xr:uid="{285BE7C6-89BF-4442-BD6C-EFDE082EEC03}">
      <text>
        <r>
          <rPr>
            <b/>
            <sz val="8"/>
            <color indexed="81"/>
            <rFont val="Tahoma"/>
            <family val="2"/>
          </rPr>
          <t>reference the information or echo the formula in this column</t>
        </r>
      </text>
    </comment>
    <comment ref="A6" authorId="0" shapeId="0" xr:uid="{2093E51B-8468-436F-BDDC-FACDFA10A294}">
      <text>
        <r>
          <rPr>
            <b/>
            <sz val="8"/>
            <color indexed="81"/>
            <rFont val="Tahoma"/>
            <family val="2"/>
          </rPr>
          <t>All known values "at the top"</t>
        </r>
      </text>
    </comment>
    <comment ref="A19" authorId="0" shapeId="0" xr:uid="{36A14B4D-D917-4A48-969B-420D1DE1FFC7}">
      <text>
        <r>
          <rPr>
            <b/>
            <sz val="8"/>
            <color indexed="81"/>
            <rFont val="Tahoma"/>
            <family val="2"/>
          </rPr>
          <t>calculations, but not "the bottom line"; calculations should flow top-down.</t>
        </r>
      </text>
    </comment>
    <comment ref="A27" authorId="0" shapeId="0" xr:uid="{B0690720-98AF-4EF4-B231-5EAB6664ACBB}">
      <text>
        <r>
          <rPr>
            <b/>
            <sz val="8"/>
            <color indexed="81"/>
            <rFont val="Tahoma"/>
            <family val="2"/>
          </rPr>
          <t>Final results, calculations should flow top-down</t>
        </r>
      </text>
    </comment>
    <comment ref="I50" authorId="0" shapeId="0" xr:uid="{4FDD7839-046D-4197-BFA8-D25D8DBE627A}">
      <text>
        <r>
          <rPr>
            <b/>
            <sz val="12"/>
            <color indexed="81"/>
            <rFont val="Tahoma"/>
            <family val="2"/>
          </rPr>
          <t>160 lb/PTO hp is also an upper bound; i.e., don't go above this even for 2WD going slower.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 Buckmaster</author>
  </authors>
  <commentList>
    <comment ref="A4" authorId="0" shapeId="0" xr:uid="{071F9AA7-40A5-45B6-815E-17FF90838E68}">
      <text>
        <r>
          <rPr>
            <b/>
            <sz val="8"/>
            <color indexed="81"/>
            <rFont val="Tahoma"/>
            <family val="2"/>
          </rPr>
          <t>one or few letter abbreviation for variables which can be used as names in formulas below</t>
        </r>
      </text>
    </comment>
    <comment ref="B4" authorId="0" shapeId="0" xr:uid="{4C116CAA-A873-4D43-93DE-C723B22D5CF3}">
      <text>
        <r>
          <rPr>
            <b/>
            <sz val="8"/>
            <color indexed="81"/>
            <rFont val="Tahoma"/>
            <family val="2"/>
          </rPr>
          <t>more text to describe the abbreviations used in column A which can be used as names in formulas below</t>
        </r>
      </text>
    </comment>
    <comment ref="C4" authorId="0" shapeId="0" xr:uid="{92137E9D-0EB8-43D9-BAC1-51C35DBED1CC}">
      <text>
        <r>
          <rPr>
            <b/>
            <sz val="8"/>
            <color indexed="81"/>
            <rFont val="Tahoma"/>
            <family val="2"/>
          </rPr>
          <t>numbers in the inputs, always formulas in intermediate calculations and outputs</t>
        </r>
      </text>
    </comment>
    <comment ref="D4" authorId="0" shapeId="0" xr:uid="{5F593CF5-0435-409B-AD1F-AAE57810D28F}">
      <text>
        <r>
          <rPr>
            <b/>
            <sz val="8"/>
            <color indexed="81"/>
            <rFont val="Tahoma"/>
            <family val="2"/>
          </rPr>
          <t>Units of the number to the left</t>
        </r>
      </text>
    </comment>
    <comment ref="E4" authorId="0" shapeId="0" xr:uid="{576FE3FA-F78E-43B5-8DB6-BC513635EE6E}">
      <text>
        <r>
          <rPr>
            <b/>
            <sz val="8"/>
            <color indexed="81"/>
            <rFont val="Tahoma"/>
            <family val="2"/>
          </rPr>
          <t>reference the information or echo the formula in this column</t>
        </r>
      </text>
    </comment>
    <comment ref="A6" authorId="0" shapeId="0" xr:uid="{C4F703C1-79D8-46EC-97CC-A495EE1260D4}">
      <text>
        <r>
          <rPr>
            <b/>
            <sz val="8"/>
            <color indexed="81"/>
            <rFont val="Tahoma"/>
            <family val="2"/>
          </rPr>
          <t>All known values "at the top"</t>
        </r>
      </text>
    </comment>
    <comment ref="A17" authorId="0" shapeId="0" xr:uid="{65089325-F1CD-49C5-998F-23D28F8CD0BE}">
      <text>
        <r>
          <rPr>
            <b/>
            <sz val="8"/>
            <color indexed="81"/>
            <rFont val="Tahoma"/>
            <family val="2"/>
          </rPr>
          <t>calculations, but not "the bottom line"; calculations should flow top-down.</t>
        </r>
      </text>
    </comment>
    <comment ref="A22" authorId="0" shapeId="0" xr:uid="{B2A42884-3BCA-4EB0-80E8-A8E8263ACF19}">
      <text>
        <r>
          <rPr>
            <b/>
            <sz val="8"/>
            <color indexed="81"/>
            <rFont val="Tahoma"/>
            <family val="2"/>
          </rPr>
          <t>Final results, calculations should flow top-down</t>
        </r>
      </text>
    </comment>
    <comment ref="I45" authorId="0" shapeId="0" xr:uid="{3D2316F1-CEBD-4FBA-BAB2-E1B3CB529C46}">
      <text>
        <r>
          <rPr>
            <b/>
            <sz val="12"/>
            <color indexed="81"/>
            <rFont val="Tahoma"/>
            <family val="2"/>
          </rPr>
          <t>160 lb/PTO hp is also an upper bound; i.e., don't go above this even for 2WD going slower.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 Buckmaster</author>
    <author>Buckmaster, Dennis</author>
  </authors>
  <commentList>
    <comment ref="F1" authorId="0" shapeId="0" xr:uid="{C31D13CD-424A-4F5C-9ABB-69E25F290FDB}">
      <text>
        <r>
          <rPr>
            <b/>
            <sz val="12"/>
            <color indexed="81"/>
            <rFont val="Tahoma"/>
            <family val="2"/>
          </rPr>
          <t xml:space="preserve">Based on:
Hawkins, E.M. and D.R. Buckmaster. 2015. Benchmarking costs of fixed-frame, articulated, and tracked tractors. Applied Engineering in Agriculture V(n):p-p.
</t>
        </r>
      </text>
    </comment>
    <comment ref="C3" authorId="1" shapeId="0" xr:uid="{F43CDA9D-DF33-425D-B3A7-5CD9BB2A5E78}">
      <text>
        <r>
          <rPr>
            <b/>
            <sz val="9"/>
            <color indexed="81"/>
            <rFont val="Tahoma"/>
            <family val="2"/>
          </rPr>
          <t>Rated PTO power for fixed frame tractors.
Rated engine power for articulated and tracked tractors.</t>
        </r>
      </text>
    </comment>
    <comment ref="D3" authorId="1" shapeId="0" xr:uid="{82622AFD-BD6C-4F78-9FD9-FC2CCB7B3322}">
      <text>
        <r>
          <rPr>
            <b/>
            <sz val="9"/>
            <color indexed="81"/>
            <rFont val="Tahoma"/>
            <family val="2"/>
          </rPr>
          <t>Rated PTO power for fixed frame tractors.
Rated engine power for articulated and tracked tractors.</t>
        </r>
      </text>
    </comment>
    <comment ref="C17" authorId="1" shapeId="0" xr:uid="{D72A2B56-8A57-476F-8C81-FCB9A3DF3EEA}">
      <text>
        <r>
          <rPr>
            <b/>
            <sz val="9"/>
            <color indexed="81"/>
            <rFont val="Tahoma"/>
            <family val="2"/>
          </rPr>
          <t>Override the function by entering a price if you have it.</t>
        </r>
      </text>
    </comment>
    <comment ref="D17" authorId="1" shapeId="0" xr:uid="{6756D1A8-34D7-4229-BFF5-28D3B0F35592}">
      <text>
        <r>
          <rPr>
            <b/>
            <sz val="9"/>
            <color indexed="81"/>
            <rFont val="Tahoma"/>
            <family val="2"/>
          </rPr>
          <t>Override the function by entering a price if you have it.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Buckmaster, Dennis</author>
  </authors>
  <commentList>
    <comment ref="D49" authorId="0" shapeId="0" xr:uid="{9BF19C16-629A-40CF-A623-71C47DF86FAF}">
      <text>
        <r>
          <rPr>
            <b/>
            <sz val="9"/>
            <color indexed="81"/>
            <rFont val="Tahoma"/>
            <family val="2"/>
          </rPr>
          <t>estimated by proportion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Buckmaster, Dennis</author>
  </authors>
  <commentList>
    <comment ref="C12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assumed the shanks were 0.5 m apart and field efficiency was 0.85</t>
        </r>
      </text>
    </comment>
  </commentList>
</comments>
</file>

<file path=xl/sharedStrings.xml><?xml version="1.0" encoding="utf-8"?>
<sst xmlns="http://schemas.openxmlformats.org/spreadsheetml/2006/main" count="1236" uniqueCount="928">
  <si>
    <t>=ABS(erspd)+ABS(erpull)+ABS(erdraft)</t>
  </si>
  <si>
    <t>mixed units</t>
  </si>
  <si>
    <t>errors summed, using absolute value</t>
  </si>
  <si>
    <t>ertot</t>
  </si>
  <si>
    <t>=pullt-DRFT</t>
  </si>
  <si>
    <t>N</t>
  </si>
  <si>
    <t>error in pull matching draft</t>
  </si>
  <si>
    <t>erdraft</t>
  </si>
  <si>
    <t>=pullt-pulle</t>
  </si>
  <si>
    <t>error in traction pull estimate</t>
  </si>
  <si>
    <t>erpull</t>
  </si>
  <si>
    <t>=Neng1-Neng2</t>
  </si>
  <si>
    <t>rpm</t>
  </si>
  <si>
    <t>error in engine speed</t>
  </si>
  <si>
    <t>erspd</t>
  </si>
  <si>
    <t>=IF(Teng&gt;Tmx,1,0)</t>
  </si>
  <si>
    <t>Nm</t>
  </si>
  <si>
    <t>error in engine torque</t>
  </si>
  <si>
    <t>errtq</t>
  </si>
  <si>
    <t xml:space="preserve">  ERRORS</t>
  </si>
  <si>
    <t>=FC/AR</t>
  </si>
  <si>
    <t>l/ha</t>
  </si>
  <si>
    <t>fuel per area</t>
  </si>
  <si>
    <t>FPA</t>
  </si>
  <si>
    <t>=Va*wi/2*0.85/10</t>
  </si>
  <si>
    <t>ha/h</t>
  </si>
  <si>
    <t>area rate</t>
  </si>
  <si>
    <t>AR</t>
  </si>
  <si>
    <t>WORK RATE AND EFFICIENCY</t>
  </si>
  <si>
    <t>=(pulle*Va/3600)/Pax</t>
  </si>
  <si>
    <t>decimal</t>
  </si>
  <si>
    <t>tractive efficiency for the tractor</t>
  </si>
  <si>
    <t>TE</t>
  </si>
  <si>
    <t>=(Tfax*Nfax+Trax*Nrax)/9549</t>
  </si>
  <si>
    <t>kW</t>
  </si>
  <si>
    <t>total power to axles</t>
  </si>
  <si>
    <t>Pax</t>
  </si>
  <si>
    <t>=FC/(Peng*Epto)</t>
  </si>
  <si>
    <t>l/kWh</t>
  </si>
  <si>
    <t>specific fuel consumption</t>
  </si>
  <si>
    <t>SFC</t>
  </si>
  <si>
    <t>Grisso model</t>
  </si>
  <si>
    <t>=(aa*X+bb)*(1-(cc*X*Nred+dd*Nred))*Ppto</t>
  </si>
  <si>
    <t>l/h</t>
  </si>
  <si>
    <t>fuel consumption</t>
  </si>
  <si>
    <t>FC</t>
  </si>
  <si>
    <t>=(1-Neng2/Nr)*100</t>
  </si>
  <si>
    <t>percent</t>
  </si>
  <si>
    <t>speed reduction from rated</t>
  </si>
  <si>
    <t>Nred</t>
  </si>
  <si>
    <t>=Peng/Preng</t>
  </si>
  <si>
    <t>current power as a fraction of rated power</t>
  </si>
  <si>
    <t>X</t>
  </si>
  <si>
    <t>torque x speed</t>
  </si>
  <si>
    <t>=Neng2*Teng/9549</t>
  </si>
  <si>
    <t>engine power demand</t>
  </si>
  <si>
    <t>Peng</t>
  </si>
  <si>
    <t>based on Teng &amp; performance curve</t>
  </si>
  <si>
    <t>=MAX(MIN(Nmb,Nij),Ngh)</t>
  </si>
  <si>
    <t>engine speed refined computation</t>
  </si>
  <si>
    <t>Neng2</t>
  </si>
  <si>
    <t>=(Teng-h)/g</t>
  </si>
  <si>
    <t>engine speed for torque demand if f(g,h)</t>
  </si>
  <si>
    <t>Ngh</t>
  </si>
  <si>
    <t>=(Teng-j)/i</t>
  </si>
  <si>
    <t>engine speed for torque demand if f(i,j)</t>
  </si>
  <si>
    <t>Nij</t>
  </si>
  <si>
    <t>=(Teng+meng*Nls+meng*ts*(Nhi-Nls))/meng</t>
  </si>
  <si>
    <t>engine speed for torque demand if f(meng and b)</t>
  </si>
  <si>
    <t>Nmb</t>
  </si>
  <si>
    <t>f(axle torques and transmission)</t>
  </si>
  <si>
    <t>=(Trax+Tfax/srfr/efr)/(srt*srd*srfd)/(et*ed*efd)</t>
  </si>
  <si>
    <t>engine torque demand</t>
  </si>
  <si>
    <t>Teng</t>
  </si>
  <si>
    <t xml:space="preserve">  ENGINE</t>
  </si>
  <si>
    <t>=mugf*rf*rlf*(2*CFA)/1000</t>
  </si>
  <si>
    <t>front axle torque</t>
  </si>
  <si>
    <t>Tfax</t>
  </si>
  <si>
    <t>=mugr*rr*rlr*(2*CRA)/1000</t>
  </si>
  <si>
    <t>rear axle torque</t>
  </si>
  <si>
    <t>Trax</t>
  </si>
  <si>
    <t>=(2*CRA)*pullr+(2*CFA)*pullf</t>
  </si>
  <si>
    <t>net pull from tractor, traction limiting</t>
  </si>
  <si>
    <t>pullt</t>
  </si>
  <si>
    <t>=(1-sl)*munr/mugr</t>
  </si>
  <si>
    <t>tractive efficiency of rear axle</t>
  </si>
  <si>
    <t>etar</t>
  </si>
  <si>
    <t>=munr*rr</t>
  </si>
  <si>
    <t>N/tire</t>
  </si>
  <si>
    <t>net pull from rear tire</t>
  </si>
  <si>
    <t>pullr</t>
  </si>
  <si>
    <t>=mugr-rhor</t>
  </si>
  <si>
    <t xml:space="preserve"> --</t>
  </si>
  <si>
    <t>coefficient of net traction rear tire</t>
  </si>
  <si>
    <t>munr</t>
  </si>
  <si>
    <t>=tc_5/bnr+tc_4+tc_6*sl*bnr^(-0.5)</t>
  </si>
  <si>
    <t>coefficient of rolling resistance rear tire</t>
  </si>
  <si>
    <t>rhor</t>
  </si>
  <si>
    <t>=tc_1*(1-EXP(-tc_2*bnr))*(1-EXP(-tc_3*sl))+tc_4</t>
  </si>
  <si>
    <t>coefficient of gross traction rear tire</t>
  </si>
  <si>
    <t>mugr</t>
  </si>
  <si>
    <t>=(cir*br*dr/rr) * ( (1+tk_1*deltar/hr)/(1+tk_2*br/dr) )</t>
  </si>
  <si>
    <t>mobility number for rear tire</t>
  </si>
  <si>
    <t>bnr</t>
  </si>
  <si>
    <t>=(pullv+(rfo+rro)-(rf*2*CFA)) / (2*CRA)</t>
  </si>
  <si>
    <t>dynamic load on rear tire</t>
  </si>
  <si>
    <t>rr</t>
  </si>
  <si>
    <t>=cif*(1+1.8*EXP(-0.11*bnf))</t>
  </si>
  <si>
    <t>N/sq mm</t>
  </si>
  <si>
    <t>cone index of soil to rear tires</t>
  </si>
  <si>
    <t>cir</t>
  </si>
  <si>
    <t>=IF(CDT=1,0,(1-slf)*munf/mugf)</t>
  </si>
  <si>
    <t>tractive efficiency of front axle</t>
  </si>
  <si>
    <t>etaf</t>
  </si>
  <si>
    <t>=munf*rf</t>
  </si>
  <si>
    <t>net pull from front tire</t>
  </si>
  <si>
    <t>pullf</t>
  </si>
  <si>
    <t>=mugf-rhof</t>
  </si>
  <si>
    <t>coefficient of net traction front tire</t>
  </si>
  <si>
    <t>munf</t>
  </si>
  <si>
    <t>=tc_5/bnf+tc_4+tc_6*slf*bnf^(-0.5)</t>
  </si>
  <si>
    <t>coefficient of rolling resistance front tire</t>
  </si>
  <si>
    <t>rhof</t>
  </si>
  <si>
    <t>=IF(CDT=1,0,tc_1*(1-EXP(-tc_2*bnf))*(1-EXP(-tc_3*slf))+tc_4)</t>
  </si>
  <si>
    <t>coefficient of gross traction front tire</t>
  </si>
  <si>
    <t>mugf</t>
  </si>
  <si>
    <t>=IF(CDT=1,0,sl)</t>
  </si>
  <si>
    <t>slip for the front tire</t>
  </si>
  <si>
    <t>slf</t>
  </si>
  <si>
    <t>=(cif*bf*df/rf) * ( (1+tk_1*deltaf/hf)/(1+tk_2*bf/df) )</t>
  </si>
  <si>
    <t>mobility number for front tire</t>
  </si>
  <si>
    <t>bnf</t>
  </si>
  <si>
    <t>=( ( (rfo+rro)*Xcg -pulle*Ydb-pullv*Xdb ) / wb ) / (2*CFA)</t>
  </si>
  <si>
    <t>dynamic load on front tire</t>
  </si>
  <si>
    <t>rf</t>
  </si>
  <si>
    <t>=pulle*TAN(RADIANS(theta))</t>
  </si>
  <si>
    <t>vertical component of drawbar pull</t>
  </si>
  <si>
    <t>pullv</t>
  </si>
  <si>
    <t>D497 equation</t>
  </si>
  <si>
    <t>=sdp*(idp1_+idp2_*Va+idp3_*Va^2)*wi*di</t>
  </si>
  <si>
    <t>implement draft</t>
  </si>
  <si>
    <t>DRFT</t>
  </si>
  <si>
    <t>=Vt*(1-sl)</t>
  </si>
  <si>
    <t>km/h</t>
  </si>
  <si>
    <t>actual travel speed</t>
  </si>
  <si>
    <t>Va</t>
  </si>
  <si>
    <t>lets just start with 2WD operation</t>
  </si>
  <si>
    <t>=Nrax/srfr</t>
  </si>
  <si>
    <t>front axle speed</t>
  </si>
  <si>
    <t>Nfax</t>
  </si>
  <si>
    <t>f(axle speed, tire diameter)</t>
  </si>
  <si>
    <t>=Nrax*(2*PI()*rlr)*60/10^6</t>
  </si>
  <si>
    <t>travel speed without slip</t>
  </si>
  <si>
    <t>Vt</t>
  </si>
  <si>
    <t>f(transmission, engine speed)</t>
  </si>
  <si>
    <t>=Neng1/(srt*srd*srfd)</t>
  </si>
  <si>
    <t>rear axle speed</t>
  </si>
  <si>
    <t>Nrax</t>
  </si>
  <si>
    <t xml:space="preserve">  TRACTION &amp; TRANSMISSION</t>
  </si>
  <si>
    <r>
      <t xml:space="preserve">INTERMEDIATE CALCULATIONS </t>
    </r>
    <r>
      <rPr>
        <b/>
        <sz val="12"/>
        <color rgb="FFFF0000"/>
        <rFont val="Arial"/>
        <family val="2"/>
      </rPr>
      <t>(&amp; OUTPUT)</t>
    </r>
    <r>
      <rPr>
        <b/>
        <sz val="12"/>
        <rFont val="Arial"/>
        <family val="2"/>
      </rPr>
      <t>-- utilizing iteration</t>
    </r>
  </si>
  <si>
    <t>=dr/2-deltar</t>
  </si>
  <si>
    <t>mm</t>
  </si>
  <si>
    <t>static load radius of rear tire</t>
  </si>
  <si>
    <t>rlr</t>
  </si>
  <si>
    <t>=0.19*hr</t>
  </si>
  <si>
    <t>deflection of rear tire</t>
  </si>
  <si>
    <t>deltar</t>
  </si>
  <si>
    <t>=dnrr+2*hr</t>
  </si>
  <si>
    <t>diameter of rear tire</t>
  </si>
  <si>
    <t>dr</t>
  </si>
  <si>
    <t>=br*rar</t>
  </si>
  <si>
    <t>section height of rear tire</t>
  </si>
  <si>
    <t>hr</t>
  </si>
  <si>
    <t>=df/2-deltaf</t>
  </si>
  <si>
    <t>static load radius of front tire</t>
  </si>
  <si>
    <t>rlf</t>
  </si>
  <si>
    <t>=0.19*hf</t>
  </si>
  <si>
    <t>deflection of front tire</t>
  </si>
  <si>
    <t>deltaf</t>
  </si>
  <si>
    <t>=dnrf+2*hf</t>
  </si>
  <si>
    <t>diameter of front tire</t>
  </si>
  <si>
    <t>df</t>
  </si>
  <si>
    <t>=bf*raf</t>
  </si>
  <si>
    <t>section height of front tire</t>
  </si>
  <si>
    <t>hf</t>
  </si>
  <si>
    <t>tire parameters</t>
  </si>
  <si>
    <t>=HLOOKUP(CTT,tires,9)</t>
  </si>
  <si>
    <t>tire constant 8</t>
  </si>
  <si>
    <t>tc_6</t>
  </si>
  <si>
    <t>=HLOOKUP(CTT,tires,8)</t>
  </si>
  <si>
    <t>tire constant 7</t>
  </si>
  <si>
    <t>tc_5</t>
  </si>
  <si>
    <t>=HLOOKUP(CTT,tires,7)</t>
  </si>
  <si>
    <t>tire constant 6</t>
  </si>
  <si>
    <t>tc_4</t>
  </si>
  <si>
    <t>=HLOOKUP(CTT,tires,6)</t>
  </si>
  <si>
    <t>tire constant 5</t>
  </si>
  <si>
    <t>tc_3</t>
  </si>
  <si>
    <t>=HLOOKUP(CTT,tires,5)</t>
  </si>
  <si>
    <t>tire constant 4</t>
  </si>
  <si>
    <t>tc_2</t>
  </si>
  <si>
    <t>=HLOOKUP(CTT,tires,4)</t>
  </si>
  <si>
    <t>tire constant 3</t>
  </si>
  <si>
    <t>tc_1</t>
  </si>
  <si>
    <t>=HLOOKUP(CTT,tires,3)</t>
  </si>
  <si>
    <t>tire constant 2</t>
  </si>
  <si>
    <t>tk_2</t>
  </si>
  <si>
    <t>=HLOOKUP(CTT,tires,2)</t>
  </si>
  <si>
    <t>tire constant 1</t>
  </si>
  <si>
    <t>tk_1</t>
  </si>
  <si>
    <t>=rfo*wb/(rfo+rro)</t>
  </si>
  <si>
    <t>center of gravity location</t>
  </si>
  <si>
    <t>Xcg</t>
  </si>
  <si>
    <t>=Treng-i*Nr</t>
  </si>
  <si>
    <t>intercept of T/N curve between rated point &amp; max T</t>
  </si>
  <si>
    <t>j</t>
  </si>
  <si>
    <t>=(Tmx-Treng)/(Nmt-Nr)</t>
  </si>
  <si>
    <t>Nm/rpm</t>
  </si>
  <si>
    <t>slope of T/N curve between rated point &amp; max T</t>
  </si>
  <si>
    <t>i</t>
  </si>
  <si>
    <t>=Tmx-g*Nmt</t>
  </si>
  <si>
    <t>intercept of T/N curve left of peak torque</t>
  </si>
  <si>
    <t>h</t>
  </si>
  <si>
    <t>=(Tmls-Tmx)/(Nls-Nmt)</t>
  </si>
  <si>
    <t>slope of T/N curve left of peak torque</t>
  </si>
  <si>
    <t>g</t>
  </si>
  <si>
    <t>=(Treng-0)/(Nr-Nhi)</t>
  </si>
  <si>
    <t>slope of engine torque model</t>
  </si>
  <si>
    <t>m</t>
  </si>
  <si>
    <t>=Treng*(1+Trise)</t>
  </si>
  <si>
    <t>maximum torque from engine</t>
  </si>
  <si>
    <t>Tmx</t>
  </si>
  <si>
    <t>=Preng/Nr*9549</t>
  </si>
  <si>
    <t>rated torque from engine</t>
  </si>
  <si>
    <t>Treng</t>
  </si>
  <si>
    <t>=Ppto/Epto</t>
  </si>
  <si>
    <t>rated power of the engine</t>
  </si>
  <si>
    <t>Preng</t>
  </si>
  <si>
    <t>INTERMEDIATE CALCULATIONS -- not requiring iteration</t>
  </si>
  <si>
    <t>pull estimate, horizontal component</t>
  </si>
  <si>
    <t>pulle</t>
  </si>
  <si>
    <t>slip</t>
  </si>
  <si>
    <t>sl</t>
  </si>
  <si>
    <t>engine speed guess</t>
  </si>
  <si>
    <t>Neng1</t>
  </si>
  <si>
    <t>GUESSES FOR ITERATION</t>
  </si>
  <si>
    <t>medium textured soil</t>
  </si>
  <si>
    <t>soil draft parameter</t>
  </si>
  <si>
    <t>sdp</t>
  </si>
  <si>
    <t>10 cm twisted shovel</t>
  </si>
  <si>
    <t>implement draft parameter 3</t>
  </si>
  <si>
    <t>idp3</t>
  </si>
  <si>
    <t>implement draft parameter 2</t>
  </si>
  <si>
    <t>idp2</t>
  </si>
  <si>
    <t>implement draft parameter 1</t>
  </si>
  <si>
    <t>idp1</t>
  </si>
  <si>
    <t>cm</t>
  </si>
  <si>
    <t>depth of the implement</t>
  </si>
  <si>
    <t>di</t>
  </si>
  <si>
    <t>m or tools</t>
  </si>
  <si>
    <t>width of the implement</t>
  </si>
  <si>
    <t>wi</t>
  </si>
  <si>
    <t xml:space="preserve">  IMPLEMENT</t>
  </si>
  <si>
    <t>efficiency of drive to front axle from rear axle</t>
  </si>
  <si>
    <t>efr</t>
  </si>
  <si>
    <t>efficiency of differential</t>
  </si>
  <si>
    <t>ed</t>
  </si>
  <si>
    <t>efficiency of final drive</t>
  </si>
  <si>
    <t>efd</t>
  </si>
  <si>
    <t>efficiency of transmission</t>
  </si>
  <si>
    <t>et</t>
  </si>
  <si>
    <t>related to tire rolling circumference with small lead</t>
  </si>
  <si>
    <t>speed ratio to front axle from rear axle</t>
  </si>
  <si>
    <t>srfr</t>
  </si>
  <si>
    <t>assumed to be the same for front as rear</t>
  </si>
  <si>
    <t>speed ratio of differential</t>
  </si>
  <si>
    <t>srd</t>
  </si>
  <si>
    <t>speed ratio of final drive</t>
  </si>
  <si>
    <t>srfd</t>
  </si>
  <si>
    <t>higher number is a lower gear</t>
  </si>
  <si>
    <t>speed ratio of transmission</t>
  </si>
  <si>
    <t>srt</t>
  </si>
  <si>
    <t>engine to pto efficiency</t>
  </si>
  <si>
    <t>Epto</t>
  </si>
  <si>
    <t xml:space="preserve">  TRANSMISSION</t>
  </si>
  <si>
    <t>coefficients for NH 8870 tractor</t>
  </si>
  <si>
    <t>1/%</t>
  </si>
  <si>
    <t>fuel consumption model parameter d</t>
  </si>
  <si>
    <t>dd</t>
  </si>
  <si>
    <t>fuel consumption model parameter c</t>
  </si>
  <si>
    <t>cc</t>
  </si>
  <si>
    <t>fuel consumption model parameter b</t>
  </si>
  <si>
    <t>bb</t>
  </si>
  <si>
    <t>fuel consumption model parameter a</t>
  </si>
  <si>
    <t>aa</t>
  </si>
  <si>
    <t>maximum engine torque at low speed</t>
  </si>
  <si>
    <t>Tmls</t>
  </si>
  <si>
    <t>low speed data point for the engine</t>
  </si>
  <si>
    <t>Nls</t>
  </si>
  <si>
    <t>engine speed at maximum torque</t>
  </si>
  <si>
    <t>Nmt</t>
  </si>
  <si>
    <t>engine torque rise</t>
  </si>
  <si>
    <t>Trise</t>
  </si>
  <si>
    <t>high idle speed of the engine</t>
  </si>
  <si>
    <t>Nhi</t>
  </si>
  <si>
    <t>rated engine speed of the tractor</t>
  </si>
  <si>
    <t>Nr</t>
  </si>
  <si>
    <t>throttle setting</t>
  </si>
  <si>
    <t>ts</t>
  </si>
  <si>
    <t>duals rear, 61588 N</t>
  </si>
  <si>
    <t>static load on rear axle</t>
  </si>
  <si>
    <t>rro</t>
  </si>
  <si>
    <t>nominal rim diameter of rear tire</t>
  </si>
  <si>
    <t>dnrr</t>
  </si>
  <si>
    <t>aspect ratio of rear tire</t>
  </si>
  <si>
    <t>rar</t>
  </si>
  <si>
    <t>section width of rear tire</t>
  </si>
  <si>
    <t>br</t>
  </si>
  <si>
    <t xml:space="preserve">  REAR AXLE</t>
  </si>
  <si>
    <t>singles front, 40228 N</t>
  </si>
  <si>
    <t>static load on front axle</t>
  </si>
  <si>
    <t>rfo</t>
  </si>
  <si>
    <t>nominal rim diameter of front tire</t>
  </si>
  <si>
    <t>dnrf</t>
  </si>
  <si>
    <t>aspect ratio of front tire</t>
  </si>
  <si>
    <t>raf</t>
  </si>
  <si>
    <t>section width of front tire</t>
  </si>
  <si>
    <t>bf</t>
  </si>
  <si>
    <t>cone index of soil to front tires</t>
  </si>
  <si>
    <t>cif</t>
  </si>
  <si>
    <t xml:space="preserve">  FRONT AXLE</t>
  </si>
  <si>
    <t>=17*25.4</t>
  </si>
  <si>
    <t>vertical location of drawbar</t>
  </si>
  <si>
    <t>Ydb</t>
  </si>
  <si>
    <t>C6</t>
  </si>
  <si>
    <t>=38*25.4</t>
  </si>
  <si>
    <t>horizontal location of drawbar</t>
  </si>
  <si>
    <t>Xdb</t>
  </si>
  <si>
    <t>C5</t>
  </si>
  <si>
    <t>no side draft for now =DEGREES(ATAN(rise/run))</t>
  </si>
  <si>
    <t>degrees</t>
  </si>
  <si>
    <t>pull angle, below horizontal</t>
  </si>
  <si>
    <t>theta</t>
  </si>
  <si>
    <t>C4</t>
  </si>
  <si>
    <t>wheel base</t>
  </si>
  <si>
    <t>wb</t>
  </si>
  <si>
    <t>C3</t>
  </si>
  <si>
    <t>rated pto power of tractor</t>
  </si>
  <si>
    <t>Ppto</t>
  </si>
  <si>
    <t>C2</t>
  </si>
  <si>
    <t>duals</t>
  </si>
  <si>
    <t>rear axle tire configuration</t>
  </si>
  <si>
    <t>code for the rear axle</t>
  </si>
  <si>
    <t>CRA</t>
  </si>
  <si>
    <t>C1</t>
  </si>
  <si>
    <t>singles</t>
  </si>
  <si>
    <t>front axle tire configuration</t>
  </si>
  <si>
    <t>code for the front axle</t>
  </si>
  <si>
    <t>CFA</t>
  </si>
  <si>
    <t>K2</t>
  </si>
  <si>
    <t>radial ply tires</t>
  </si>
  <si>
    <t>1 for bias ply, 2 for radial ply</t>
  </si>
  <si>
    <t>code for tire type</t>
  </si>
  <si>
    <t>CTT</t>
  </si>
  <si>
    <t>K1</t>
  </si>
  <si>
    <t>bias ply tires</t>
  </si>
  <si>
    <t>2 or 4 WD</t>
  </si>
  <si>
    <t>code for drive type</t>
  </si>
  <si>
    <t>CDT</t>
  </si>
  <si>
    <t>code</t>
  </si>
  <si>
    <t>4 wheel drive</t>
  </si>
  <si>
    <t xml:space="preserve">  TRACTOR</t>
  </si>
  <si>
    <t>radial</t>
  </si>
  <si>
    <t>bias</t>
  </si>
  <si>
    <t>Table of tire coefficients</t>
  </si>
  <si>
    <t>2 wheel drive</t>
  </si>
  <si>
    <t>INPUTS</t>
  </si>
  <si>
    <t>T</t>
  </si>
  <si>
    <t>Weight to power ratio (lb/PTO hp) for total tractor weight</t>
  </si>
  <si>
    <t>2WD</t>
  </si>
  <si>
    <t>4WD or FWA</t>
  </si>
  <si>
    <t>Speed</t>
  </si>
  <si>
    <t>hp</t>
  </si>
  <si>
    <t>speed</t>
  </si>
  <si>
    <t>mph</t>
  </si>
  <si>
    <t>Tractor</t>
  </si>
  <si>
    <t>FWA</t>
  </si>
  <si>
    <t>4WD</t>
  </si>
  <si>
    <t>Implement</t>
  </si>
  <si>
    <t>semi-mounted</t>
  </si>
  <si>
    <t>fully mounted</t>
  </si>
  <si>
    <t>%</t>
  </si>
  <si>
    <t>towed</t>
  </si>
  <si>
    <t>OUTPUTS</t>
  </si>
  <si>
    <t>lb</t>
  </si>
  <si>
    <t>EXAMPLE OF GOOD SPREADSHEET FORMAT FOR PROBLEM SOLVING</t>
  </si>
  <si>
    <t>POWER TRANSMISSION SHAFT SIZING</t>
  </si>
  <si>
    <t>Abbreviation</t>
  </si>
  <si>
    <t>Full Description</t>
  </si>
  <si>
    <t>Value</t>
  </si>
  <si>
    <t>Units</t>
  </si>
  <si>
    <t>Notes</t>
  </si>
  <si>
    <t>YS</t>
  </si>
  <si>
    <t>Yield strength of the material</t>
  </si>
  <si>
    <t>MPa or N/sq mm</t>
  </si>
  <si>
    <t>given (among choices)</t>
  </si>
  <si>
    <t>FS</t>
  </si>
  <si>
    <t>Factor of Safety</t>
  </si>
  <si>
    <t>input by user</t>
  </si>
  <si>
    <t>M</t>
  </si>
  <si>
    <t>Bending moment in the shaft (max)</t>
  </si>
  <si>
    <t>N-mm</t>
  </si>
  <si>
    <t>given from geometry</t>
  </si>
  <si>
    <t>Torque in the shaft</t>
  </si>
  <si>
    <t>given from power and speed</t>
  </si>
  <si>
    <t>INTERMEDIATE COMPUTATIONS</t>
  </si>
  <si>
    <t>SHOCK FACTOR LOOKUP TABLE</t>
  </si>
  <si>
    <t>S</t>
  </si>
  <si>
    <t>shock index for lookup table</t>
  </si>
  <si>
    <t>output from grouped buttons form</t>
  </si>
  <si>
    <t>Index</t>
  </si>
  <si>
    <t>Shock</t>
  </si>
  <si>
    <t>Moment</t>
  </si>
  <si>
    <t>Torque</t>
  </si>
  <si>
    <t>Kt</t>
  </si>
  <si>
    <t>adjustment factor for torque</t>
  </si>
  <si>
    <t>=VLOOKUP(S,I20:L22,4)</t>
  </si>
  <si>
    <t>Level</t>
  </si>
  <si>
    <t>Factor</t>
  </si>
  <si>
    <t>Km</t>
  </si>
  <si>
    <t>adjustment factor for moment</t>
  </si>
  <si>
    <t>=VLOOKUP(S,I20:L22,3)</t>
  </si>
  <si>
    <t>Steady load</t>
  </si>
  <si>
    <t>Minor shocks</t>
  </si>
  <si>
    <t>Heavy shocks</t>
  </si>
  <si>
    <t>d</t>
  </si>
  <si>
    <t>shaft diameter</t>
  </si>
  <si>
    <t>=(32*FS*((Km*M)^2+(Kt*T)^2)^0.5/(YS*PI()))^(1/3)</t>
  </si>
  <si>
    <t>REPEATED SOLUTIONS TO THE SAME PROBLEM VIA DATA TABLE</t>
  </si>
  <si>
    <t>Yield</t>
  </si>
  <si>
    <t>Diameter</t>
  </si>
  <si>
    <t>Steel description</t>
  </si>
  <si>
    <t>Strength</t>
  </si>
  <si>
    <t>Required</t>
  </si>
  <si>
    <t>(MPa)</t>
  </si>
  <si>
    <t>(mm)</t>
  </si>
  <si>
    <t>G10150 HR</t>
  </si>
  <si>
    <t>G10150 CD</t>
  </si>
  <si>
    <t>G10180 HR</t>
  </si>
  <si>
    <t>G10180 CD</t>
  </si>
  <si>
    <t>G10200 HR</t>
  </si>
  <si>
    <t>G10200 CD</t>
  </si>
  <si>
    <t>G10300 HR</t>
  </si>
  <si>
    <t>G10300 CD</t>
  </si>
  <si>
    <t>G10400 HR</t>
  </si>
  <si>
    <t>G10400 CD</t>
  </si>
  <si>
    <t>10450 HR</t>
  </si>
  <si>
    <t>10450 CD</t>
  </si>
  <si>
    <t>10450 ACD</t>
  </si>
  <si>
    <t>G10500 HR</t>
  </si>
  <si>
    <t>G10500 CD</t>
  </si>
  <si>
    <t>G10500 ACD</t>
  </si>
  <si>
    <t>G10700 HR</t>
  </si>
  <si>
    <t>G10700 SACD</t>
  </si>
  <si>
    <t>G10900 HR</t>
  </si>
  <si>
    <t>G10900 SACD</t>
  </si>
  <si>
    <t>G10950 HR</t>
  </si>
  <si>
    <t>G10950 SACD</t>
  </si>
  <si>
    <t>INPUT</t>
  </si>
  <si>
    <t>W</t>
  </si>
  <si>
    <t>width of implement</t>
  </si>
  <si>
    <t>ft</t>
  </si>
  <si>
    <t>consider optimizing</t>
  </si>
  <si>
    <t>DATA TABLED OUTPUT</t>
  </si>
  <si>
    <t>Wper</t>
  </si>
  <si>
    <t>width per tool</t>
  </si>
  <si>
    <t>inches</t>
  </si>
  <si>
    <t>$/acre as W and A change</t>
  </si>
  <si>
    <t>A</t>
  </si>
  <si>
    <t>area to be tilled</t>
  </si>
  <si>
    <t>acres</t>
  </si>
  <si>
    <t>do sensitivity</t>
  </si>
  <si>
    <t>pwd</t>
  </si>
  <si>
    <t>probability of a working day</t>
  </si>
  <si>
    <t>G</t>
  </si>
  <si>
    <t>hours per day devoted to this</t>
  </si>
  <si>
    <t>h/d</t>
  </si>
  <si>
    <t>B</t>
  </si>
  <si>
    <t>days to get the work done</t>
  </si>
  <si>
    <t>days</t>
  </si>
  <si>
    <t>without incurring timeliness cost</t>
  </si>
  <si>
    <t>typical from D497</t>
  </si>
  <si>
    <t>E</t>
  </si>
  <si>
    <t>field efficiency</t>
  </si>
  <si>
    <t>depth of tillage</t>
  </si>
  <si>
    <t>Fs</t>
  </si>
  <si>
    <t>soil parameter for draft</t>
  </si>
  <si>
    <t>DA</t>
  </si>
  <si>
    <t>implement draft parameter A</t>
  </si>
  <si>
    <t>look up in D497</t>
  </si>
  <si>
    <t>DB</t>
  </si>
  <si>
    <t>implement draft parameter B</t>
  </si>
  <si>
    <t>DC</t>
  </si>
  <si>
    <t>implement draft parameter C</t>
  </si>
  <si>
    <t>Et</t>
  </si>
  <si>
    <t>tractive efficiency</t>
  </si>
  <si>
    <t xml:space="preserve">I </t>
  </si>
  <si>
    <t>interest or discount rate</t>
  </si>
  <si>
    <t>decimal/y</t>
  </si>
  <si>
    <t>RPF_1</t>
  </si>
  <si>
    <t>repair factor 1</t>
  </si>
  <si>
    <t>RPF_2</t>
  </si>
  <si>
    <t>repair factor 2</t>
  </si>
  <si>
    <t>Y</t>
  </si>
  <si>
    <t>yield</t>
  </si>
  <si>
    <t>crop unit</t>
  </si>
  <si>
    <t>V</t>
  </si>
  <si>
    <t>value of yield</t>
  </si>
  <si>
    <t>$/crop unit</t>
  </si>
  <si>
    <t>Ny</t>
  </si>
  <si>
    <t>number of years to keep the machine</t>
  </si>
  <si>
    <t>years</t>
  </si>
  <si>
    <t>Plab</t>
  </si>
  <si>
    <t>price of labor</t>
  </si>
  <si>
    <t>$/hour</t>
  </si>
  <si>
    <t>Pfuel</t>
  </si>
  <si>
    <t>price of fuel</t>
  </si>
  <si>
    <t>$/gal</t>
  </si>
  <si>
    <t>K</t>
  </si>
  <si>
    <t>timeliness coefficient</t>
  </si>
  <si>
    <t>fraction/d</t>
  </si>
  <si>
    <t>crv_1</t>
  </si>
  <si>
    <t>remaining value coefficient</t>
  </si>
  <si>
    <t>crv_2</t>
  </si>
  <si>
    <t>crv_3</t>
  </si>
  <si>
    <t>Tipct</t>
  </si>
  <si>
    <t>taxes and insurance rate</t>
  </si>
  <si>
    <t>% of price</t>
  </si>
  <si>
    <t>reserve</t>
  </si>
  <si>
    <t>reserve power factor for sizing tractor</t>
  </si>
  <si>
    <t>tractor power = (1+reserve)*requirement</t>
  </si>
  <si>
    <t>Nytr</t>
  </si>
  <si>
    <t>number of years to keep a tractor</t>
  </si>
  <si>
    <t>Htr</t>
  </si>
  <si>
    <t>hours put on the tractor each year</t>
  </si>
  <si>
    <t>h/y</t>
  </si>
  <si>
    <t>all operations, this one included</t>
  </si>
  <si>
    <t>INTERMEDIATE</t>
  </si>
  <si>
    <t>Ca</t>
  </si>
  <si>
    <t>area capacity</t>
  </si>
  <si>
    <t>ac/h</t>
  </si>
  <si>
    <t>S*W*E/8.25</t>
  </si>
  <si>
    <t>Pmach</t>
  </si>
  <si>
    <t>price of the machine</t>
  </si>
  <si>
    <t>$</t>
  </si>
  <si>
    <t>H</t>
  </si>
  <si>
    <t>usage per year</t>
  </si>
  <si>
    <t>h/yr</t>
  </si>
  <si>
    <t>A/Ca</t>
  </si>
  <si>
    <t>RV</t>
  </si>
  <si>
    <t>remaining value of the machine</t>
  </si>
  <si>
    <t>=(crv_1-crv_2*Ny^0.5-crv_3*H^0.5)^2</t>
  </si>
  <si>
    <t>Salv</t>
  </si>
  <si>
    <t>salvage value of the machine</t>
  </si>
  <si>
    <t>RV*Pmach</t>
  </si>
  <si>
    <t>Pvsalv</t>
  </si>
  <si>
    <t>present value of salvage value</t>
  </si>
  <si>
    <t>PV(I,Ny,,-Salv)</t>
  </si>
  <si>
    <t>INVEST</t>
  </si>
  <si>
    <t>annual use cost of investment</t>
  </si>
  <si>
    <t>$/yr</t>
  </si>
  <si>
    <t>PMT(I,Ny,-(Pmach-Pvsalv))</t>
  </si>
  <si>
    <t>LABOR</t>
  </si>
  <si>
    <t>labor cost</t>
  </si>
  <si>
    <t>$/y</t>
  </si>
  <si>
    <t>Plab*H</t>
  </si>
  <si>
    <t>Wuse</t>
  </si>
  <si>
    <t>width in tools to use for draft</t>
  </si>
  <si>
    <t>tools</t>
  </si>
  <si>
    <t>=W/Wper*12</t>
  </si>
  <si>
    <t>D</t>
  </si>
  <si>
    <t>draft of the machine</t>
  </si>
  <si>
    <t>Fs*(DA+DB*S+DC*S^2)*Wuse*T</t>
  </si>
  <si>
    <t>Pdb</t>
  </si>
  <si>
    <t>drawbar power requirement</t>
  </si>
  <si>
    <t>D*S/375</t>
  </si>
  <si>
    <t>Pt</t>
  </si>
  <si>
    <t>tractor power rating needed</t>
  </si>
  <si>
    <t>Pdb/(Et*0.96)</t>
  </si>
  <si>
    <t>Pr</t>
  </si>
  <si>
    <t>tractor power rating selected</t>
  </si>
  <si>
    <t>Pt*(1+reserve)</t>
  </si>
  <si>
    <t>Ptra</t>
  </si>
  <si>
    <t>prorated price of a tractor</t>
  </si>
  <si>
    <t>$/hph</t>
  </si>
  <si>
    <t>not counting fuel -- replace w/ function</t>
  </si>
  <si>
    <t>gal/hph</t>
  </si>
  <si>
    <t>0.52*Pt/Pr+0.77-0.04*(738*Pt/Pr+173)^0.5</t>
  </si>
  <si>
    <t>gal/h</t>
  </si>
  <si>
    <t>SFC*Pt</t>
  </si>
  <si>
    <t>TFC</t>
  </si>
  <si>
    <t>total fuel consumption</t>
  </si>
  <si>
    <t>gal</t>
  </si>
  <si>
    <t>FC*A/Ca</t>
  </si>
  <si>
    <t>FUEL</t>
  </si>
  <si>
    <t>fuel cost per year</t>
  </si>
  <si>
    <t>TFC*Pfuel</t>
  </si>
  <si>
    <t>TRACT</t>
  </si>
  <si>
    <t>tractor cost</t>
  </si>
  <si>
    <t>Ptra*Pt*H</t>
  </si>
  <si>
    <t>TI</t>
  </si>
  <si>
    <t>taxes &amp; insurance cost</t>
  </si>
  <si>
    <t>Tipct/100*Pmach</t>
  </si>
  <si>
    <t>RM</t>
  </si>
  <si>
    <t>repair &amp; maintenance cost</t>
  </si>
  <si>
    <t>=PMT(I,Ny,-F89)</t>
  </si>
  <si>
    <t>Atimely</t>
  </si>
  <si>
    <t>area covered in timely fashion</t>
  </si>
  <si>
    <t>Ca*B*G*pwd</t>
  </si>
  <si>
    <t>Alate</t>
  </si>
  <si>
    <t>area covered late</t>
  </si>
  <si>
    <t>MAX(0,A-Atimely)</t>
  </si>
  <si>
    <t>delay</t>
  </si>
  <si>
    <t>average delay on the late area</t>
  </si>
  <si>
    <t>(Alate/(Ca*G*pwd))/2</t>
  </si>
  <si>
    <t>TIME</t>
  </si>
  <si>
    <t>timeliness cost</t>
  </si>
  <si>
    <t>K*delay*Y*V*Alate</t>
  </si>
  <si>
    <t>OUTPUT</t>
  </si>
  <si>
    <t>GT</t>
  </si>
  <si>
    <t>grand total of cost</t>
  </si>
  <si>
    <t>INVEST+LABOR+FUEL+TRACT+RM+TI+TIME</t>
  </si>
  <si>
    <t>GT2</t>
  </si>
  <si>
    <t>$/acre</t>
  </si>
  <si>
    <t>GT/A</t>
  </si>
  <si>
    <t>R&amp;M Cost Table (an intermediate thing, but space consuming)</t>
  </si>
  <si>
    <t>Year</t>
  </si>
  <si>
    <t>Cumulative R&amp;M</t>
  </si>
  <si>
    <t>R&amp;M for</t>
  </si>
  <si>
    <t>R&amp;M</t>
  </si>
  <si>
    <t>the year</t>
  </si>
  <si>
    <t>today $</t>
  </si>
  <si>
    <t>SUM:</t>
  </si>
  <si>
    <t>unitless</t>
  </si>
  <si>
    <t xml:space="preserve">From D497 </t>
  </si>
  <si>
    <t>look up in D497 -- Medium texture</t>
  </si>
  <si>
    <t>look up in D497 -- MFWD on Firm soil</t>
  </si>
  <si>
    <t>Black Line</t>
  </si>
  <si>
    <t>Blue Line</t>
  </si>
  <si>
    <t>Red Line</t>
  </si>
  <si>
    <t>x</t>
  </si>
  <si>
    <t>y</t>
  </si>
  <si>
    <t>Abbrev.</t>
  </si>
  <si>
    <t>Detailed description</t>
  </si>
  <si>
    <t>Scenario 1</t>
  </si>
  <si>
    <t>Scenario 2</t>
  </si>
  <si>
    <t>Documentation notes</t>
  </si>
  <si>
    <t>Inputs</t>
  </si>
  <si>
    <t>Php</t>
  </si>
  <si>
    <t>tractor power</t>
  </si>
  <si>
    <t>Ctt</t>
  </si>
  <si>
    <t>code for tractor type</t>
  </si>
  <si>
    <t>1, fixed frame, 2 articulated, 3 track</t>
  </si>
  <si>
    <t>length of time to keep the tractor</t>
  </si>
  <si>
    <t>use of tractor each year</t>
  </si>
  <si>
    <t>hours</t>
  </si>
  <si>
    <t>Pf</t>
  </si>
  <si>
    <t>Pd</t>
  </si>
  <si>
    <t>price of diesel exhaust fluid</t>
  </si>
  <si>
    <t>TIH</t>
  </si>
  <si>
    <t>taxes, insurance, and housing</t>
  </si>
  <si>
    <t>% of price/y</t>
  </si>
  <si>
    <t>Pp</t>
  </si>
  <si>
    <t>operating power as a percent of rated power</t>
  </si>
  <si>
    <t>affects fuel consumption</t>
  </si>
  <si>
    <t>Sp</t>
  </si>
  <si>
    <t>operating speed as a percent of rated speed</t>
  </si>
  <si>
    <t>Afc</t>
  </si>
  <si>
    <t>Adjustment to fuel consumption due to technology</t>
  </si>
  <si>
    <t>fuel consumption compared to tractors of 1980-2000</t>
  </si>
  <si>
    <t>Efficiency of the driveline from engine to PTO</t>
  </si>
  <si>
    <t>ASABE D497 suggests 90%</t>
  </si>
  <si>
    <t>Intermediate</t>
  </si>
  <si>
    <t>P</t>
  </si>
  <si>
    <t>list purchase price of tractor</t>
  </si>
  <si>
    <t>(1030*Php*0.746) + IF(Ctt=1,49500,IF(Ctt=2,-7500,96400))</t>
  </si>
  <si>
    <t>Phppto</t>
  </si>
  <si>
    <t>tractor power, PTO equivalent</t>
  </si>
  <si>
    <t>IF(Ctt=1,Php,Php*Epto/100)</t>
  </si>
  <si>
    <t>remaining value of tractor at end of period</t>
  </si>
  <si>
    <t>D497 f'n | 100*IF(Phppto*0.746&gt;112,(0.976-0.119*Ny^0.5-0.0019*H^0.5)^2,(0.942-0.1*Ny^0.5-0.0008*H^0.5)^2)</t>
  </si>
  <si>
    <t>SV</t>
  </si>
  <si>
    <t>salvage value in Ny years</t>
  </si>
  <si>
    <t>RV/100*P</t>
  </si>
  <si>
    <t>PV</t>
  </si>
  <si>
    <t>present value of price less SV</t>
  </si>
  <si>
    <t>$, today</t>
  </si>
  <si>
    <t>LP-SV/(1+i)^Ny</t>
  </si>
  <si>
    <t>sum from cumulative table below</t>
  </si>
  <si>
    <t>PTM</t>
  </si>
  <si>
    <t>partial throttle multiplier</t>
  </si>
  <si>
    <t>D497 f'n | 1 - (Sp/100-1)*(0.45*Pp/100-0.877)</t>
  </si>
  <si>
    <t>F</t>
  </si>
  <si>
    <t>average fuel consumption</t>
  </si>
  <si>
    <t>D497 f'n | (Phppto*0.746*(Pp/100)*(0.22+0.096/(Pp/100))*PTM  * Afc/100 ) / 3.78</t>
  </si>
  <si>
    <t>L</t>
  </si>
  <si>
    <t>lubrication consumption</t>
  </si>
  <si>
    <t>D497 f'n | 0.00059*Phppto*0.746+0.02169 ) / 3.78</t>
  </si>
  <si>
    <t>diesel exhaust fluid consumption</t>
  </si>
  <si>
    <t>.02*F</t>
  </si>
  <si>
    <t>fuel cost</t>
  </si>
  <si>
    <t>F*H*Pf</t>
  </si>
  <si>
    <t>PL</t>
  </si>
  <si>
    <t>price of lubricant</t>
  </si>
  <si>
    <t>$/l</t>
  </si>
  <si>
    <t>4*Pf, assumed</t>
  </si>
  <si>
    <t>LC</t>
  </si>
  <si>
    <t>lubricant cost</t>
  </si>
  <si>
    <t>L*H*PL</t>
  </si>
  <si>
    <t>diesel exhaust fluid cost</t>
  </si>
  <si>
    <t>D*Pd*H</t>
  </si>
  <si>
    <t>TIHa</t>
  </si>
  <si>
    <t>TIH*P/100</t>
  </si>
  <si>
    <t>Output</t>
  </si>
  <si>
    <t>AC</t>
  </si>
  <si>
    <t>cost for the tractor, without fuel, DEF, &amp; lube</t>
  </si>
  <si>
    <t>PMT(i,Ny,-PV-RM)+TIHa</t>
  </si>
  <si>
    <t>FLC</t>
  </si>
  <si>
    <t>fuel, DEF, and lubricant cost</t>
  </si>
  <si>
    <t>FC+LC</t>
  </si>
  <si>
    <t>HCtot</t>
  </si>
  <si>
    <t>hourly cost for the tractor</t>
  </si>
  <si>
    <t>(AC+FLC)/H</t>
  </si>
  <si>
    <t>HCnf</t>
  </si>
  <si>
    <t>hourly cost for the tractor, no fuel &amp; lube</t>
  </si>
  <si>
    <t>AC/H</t>
  </si>
  <si>
    <t>SCtot</t>
  </si>
  <si>
    <t>specific cost for tractor power (PTO power basis)</t>
  </si>
  <si>
    <t>HCtot/Phppto</t>
  </si>
  <si>
    <t>SCnf</t>
  </si>
  <si>
    <t>specific cost for tractor power, no fuel &amp; lube (PTO power basis)</t>
  </si>
  <si>
    <t>HCnf/Phppto</t>
  </si>
  <si>
    <t>R&amp;M Table</t>
  </si>
  <si>
    <t>todays $</t>
  </si>
  <si>
    <t>Fixed Frame</t>
  </si>
  <si>
    <t>Articulated</t>
  </si>
  <si>
    <t>Track</t>
  </si>
  <si>
    <t xml:space="preserve">All include, In furrow fert, Pneumatic Down Force, Steel Scrapers, Markers, individual row shut off, Tractor attaching components, and fertilizer tank. </t>
  </si>
  <si>
    <t>Electric</t>
  </si>
  <si>
    <t>Non Electric</t>
  </si>
  <si>
    <t>Price/Row- Non Elec</t>
  </si>
  <si>
    <t>Price/Row- Elec</t>
  </si>
  <si>
    <t>6 Row</t>
  </si>
  <si>
    <t>8 Row</t>
  </si>
  <si>
    <t>1775NT</t>
  </si>
  <si>
    <t>12 Row</t>
  </si>
  <si>
    <t>16 Row</t>
  </si>
  <si>
    <t>24 Row</t>
  </si>
  <si>
    <t>DB90</t>
  </si>
  <si>
    <t>36 Row</t>
  </si>
  <si>
    <t>DB120</t>
  </si>
  <si>
    <t>48 Row</t>
  </si>
  <si>
    <t xml:space="preserve">Avg Price/Row = </t>
  </si>
  <si>
    <t>Cycle Diagram Analysis of System Capacity &amp; Efficiency</t>
  </si>
  <si>
    <t>Crop</t>
  </si>
  <si>
    <r>
      <t>harvest units</t>
    </r>
    <r>
      <rPr>
        <sz val="10"/>
        <rFont val="Symbol"/>
        <family val="1"/>
        <charset val="2"/>
      </rPr>
      <t>×</t>
    </r>
    <r>
      <rPr>
        <sz val="11"/>
        <color theme="1"/>
        <rFont val="Calibri"/>
        <family val="2"/>
        <scheme val="minor"/>
      </rPr>
      <t>ha</t>
    </r>
    <r>
      <rPr>
        <vertAlign val="superscript"/>
        <sz val="10"/>
        <rFont val="Arial"/>
        <family val="2"/>
      </rPr>
      <t>-1</t>
    </r>
  </si>
  <si>
    <t>harvest units = Mg DM</t>
  </si>
  <si>
    <t>area to be harvested</t>
  </si>
  <si>
    <t>ha</t>
  </si>
  <si>
    <t>Harvester</t>
  </si>
  <si>
    <t>Cm_max</t>
  </si>
  <si>
    <t>maximum material capacity of harvester</t>
  </si>
  <si>
    <r>
      <t>harvest units</t>
    </r>
    <r>
      <rPr>
        <sz val="10"/>
        <rFont val="Symbol"/>
        <family val="1"/>
        <charset val="2"/>
      </rPr>
      <t>×</t>
    </r>
    <r>
      <rPr>
        <sz val="11"/>
        <color theme="1"/>
        <rFont val="Calibri"/>
        <family val="2"/>
        <scheme val="minor"/>
      </rPr>
      <t>h</t>
    </r>
    <r>
      <rPr>
        <vertAlign val="superscript"/>
        <sz val="10"/>
        <rFont val="Arial"/>
        <family val="2"/>
      </rPr>
      <t>-1</t>
    </r>
  </si>
  <si>
    <t>Vh</t>
  </si>
  <si>
    <t>storage volume on-board harvester</t>
  </si>
  <si>
    <t>harvest units</t>
  </si>
  <si>
    <t>Ef_max</t>
  </si>
  <si>
    <t>field efficiency of harvester, system non-limiting</t>
  </si>
  <si>
    <t>fraction</t>
  </si>
  <si>
    <t>TRh</t>
  </si>
  <si>
    <t>transfer rate of storage volume on the harvester</t>
  </si>
  <si>
    <t>Iht</t>
  </si>
  <si>
    <t>can harvest and transfer occur simultaneously?</t>
  </si>
  <si>
    <t>0 if no, 1 if yes</t>
  </si>
  <si>
    <t>Transport</t>
  </si>
  <si>
    <t>storage capacity of transporter</t>
  </si>
  <si>
    <t>harvest units/transporter</t>
  </si>
  <si>
    <t>Dt</t>
  </si>
  <si>
    <t>distance of travel, round trip</t>
  </si>
  <si>
    <t>distance units</t>
  </si>
  <si>
    <t>distance units = km</t>
  </si>
  <si>
    <t>St</t>
  </si>
  <si>
    <t>speed of travel</t>
  </si>
  <si>
    <r>
      <t>distance units</t>
    </r>
    <r>
      <rPr>
        <sz val="10"/>
        <rFont val="Symbol"/>
        <family val="1"/>
        <charset val="2"/>
      </rPr>
      <t>×</t>
    </r>
    <r>
      <rPr>
        <sz val="11"/>
        <color theme="1"/>
        <rFont val="Calibri"/>
        <family val="2"/>
        <scheme val="minor"/>
      </rPr>
      <t>h</t>
    </r>
    <r>
      <rPr>
        <vertAlign val="superscript"/>
        <sz val="10"/>
        <rFont val="Arial"/>
        <family val="2"/>
      </rPr>
      <t>-1</t>
    </r>
  </si>
  <si>
    <t>Nt</t>
  </si>
  <si>
    <t>number of transport units</t>
  </si>
  <si>
    <t>Tht_a</t>
  </si>
  <si>
    <t>alignment time, transport to harvester</t>
  </si>
  <si>
    <r>
      <t>h</t>
    </r>
    <r>
      <rPr>
        <sz val="10"/>
        <rFont val="Symbol"/>
        <family val="1"/>
        <charset val="2"/>
      </rPr>
      <t>×</t>
    </r>
    <r>
      <rPr>
        <sz val="11"/>
        <color theme="1"/>
        <rFont val="Calibri"/>
        <family val="2"/>
        <scheme val="minor"/>
      </rPr>
      <t>transporter</t>
    </r>
    <r>
      <rPr>
        <vertAlign val="superscript"/>
        <sz val="10"/>
        <rFont val="Arial"/>
        <family val="2"/>
      </rPr>
      <t>-1</t>
    </r>
    <r>
      <rPr>
        <sz val="10"/>
        <rFont val="Symbol"/>
        <family val="1"/>
        <charset val="2"/>
      </rPr>
      <t>×</t>
    </r>
    <r>
      <rPr>
        <sz val="11"/>
        <color theme="1"/>
        <rFont val="Calibri"/>
        <family val="2"/>
        <scheme val="minor"/>
      </rPr>
      <t>cycle</t>
    </r>
    <r>
      <rPr>
        <vertAlign val="superscript"/>
        <sz val="10"/>
        <rFont val="Arial"/>
        <family val="2"/>
      </rPr>
      <t>-1</t>
    </r>
  </si>
  <si>
    <t>Ttu_a</t>
  </si>
  <si>
    <t>alignment time, transport to unloader</t>
  </si>
  <si>
    <t>Unloader</t>
  </si>
  <si>
    <t>Cm_u</t>
  </si>
  <si>
    <t>material capacity of unloader</t>
  </si>
  <si>
    <t>Lu</t>
  </si>
  <si>
    <t>laborers at the unloader</t>
  </si>
  <si>
    <t>number</t>
  </si>
  <si>
    <t>Vc</t>
  </si>
  <si>
    <t>volume per cycle</t>
  </si>
  <si>
    <t>=Vt*Nt</t>
  </si>
  <si>
    <t>Ttu,u</t>
  </si>
  <si>
    <t>time to unload from transporter to unloader</t>
  </si>
  <si>
    <t>=Vt/Cm_u</t>
  </si>
  <si>
    <t>Tt</t>
  </si>
  <si>
    <t>time for transport travel</t>
  </si>
  <si>
    <t>=Dt/St</t>
  </si>
  <si>
    <t>Tht_t</t>
  </si>
  <si>
    <t>time for harvest &amp; transport interaction, transfer</t>
  </si>
  <si>
    <t>=(1-Iht)*Vt/TRh</t>
  </si>
  <si>
    <t>Tht_h</t>
  </si>
  <si>
    <t>time for harvest &amp; transport interaction, harvesting</t>
  </si>
  <si>
    <t>=IF(Vt&gt;Vh,(Vt-Vh)/(Cm_max*Ef_max),0)</t>
  </si>
  <si>
    <t>CTh</t>
  </si>
  <si>
    <t>cycle time for harvester without idle time</t>
  </si>
  <si>
    <r>
      <t>h</t>
    </r>
    <r>
      <rPr>
        <sz val="10"/>
        <rFont val="Symbol"/>
        <family val="1"/>
        <charset val="2"/>
      </rPr>
      <t>×</t>
    </r>
    <r>
      <rPr>
        <sz val="11"/>
        <color theme="1"/>
        <rFont val="Calibri"/>
        <family val="2"/>
        <scheme val="minor"/>
      </rPr>
      <t>cycle</t>
    </r>
    <r>
      <rPr>
        <vertAlign val="superscript"/>
        <sz val="10"/>
        <rFont val="Arial"/>
        <family val="2"/>
      </rPr>
      <t>-1</t>
    </r>
  </si>
  <si>
    <t>=Vc/(Cm_max*Ef_max)+Tht_t*Nt</t>
  </si>
  <si>
    <t>CTt</t>
  </si>
  <si>
    <t>cycle time for transporter without idle time</t>
  </si>
  <si>
    <t>=Ttu_a+Ttu_u+Tht_t+Tht_h+Tt</t>
  </si>
  <si>
    <t>CTu</t>
  </si>
  <si>
    <t>cycle time for unloader without idle time</t>
  </si>
  <si>
    <t>=Nt*(Ttu_a+Ttu_u)</t>
  </si>
  <si>
    <t>CT</t>
  </si>
  <si>
    <t>cycle time for system</t>
  </si>
  <si>
    <t>=IF(CTt+Tht_a&gt;CTh+Nt*Tht_a,  MAX(CTh+Nt*Tht_a, CTt, CTu),  MAX(CTh, CTt+Tht_a, CTu) )</t>
  </si>
  <si>
    <t>Ti_h</t>
  </si>
  <si>
    <t>idle time of harvester</t>
  </si>
  <si>
    <t>=IF(CTt+Tht_a&gt;CTh+Nt*Tht_a, CT-CTh-Nt*Tht_a, CT-CTh)</t>
  </si>
  <si>
    <t>Ti_t</t>
  </si>
  <si>
    <t>idle time of transport unit</t>
  </si>
  <si>
    <t>=IF(CTt+Tht_a &gt; CTh+Nt*Tht_a, CT-CTt, CT-CTt-Tht_a)</t>
  </si>
  <si>
    <t>Ti,u</t>
  </si>
  <si>
    <t>idle time of unloader</t>
  </si>
  <si>
    <t>=CT-CTu</t>
  </si>
  <si>
    <t>laborers working</t>
  </si>
  <si>
    <t>=(1+Nt+Lu)</t>
  </si>
  <si>
    <t>Li</t>
  </si>
  <si>
    <t>labor idle time</t>
  </si>
  <si>
    <t>=Ti_h+Nt*Ti_t+Lu*Ti_u</t>
  </si>
  <si>
    <t>Uh</t>
  </si>
  <si>
    <t>Utilization of harvester</t>
  </si>
  <si>
    <r>
      <t>h harvest</t>
    </r>
    <r>
      <rPr>
        <sz val="10"/>
        <rFont val="Symbol"/>
        <family val="1"/>
        <charset val="2"/>
      </rPr>
      <t>×</t>
    </r>
    <r>
      <rPr>
        <sz val="11"/>
        <color theme="1"/>
        <rFont val="Calibri"/>
        <family val="2"/>
        <scheme val="minor"/>
      </rPr>
      <t>h</t>
    </r>
    <r>
      <rPr>
        <vertAlign val="superscript"/>
        <sz val="10"/>
        <rFont val="Arial"/>
        <family val="2"/>
      </rPr>
      <t>-1</t>
    </r>
  </si>
  <si>
    <t>=Vc/(Cm_max*Ef_max)/CT</t>
  </si>
  <si>
    <t>Uta</t>
  </si>
  <si>
    <t>Utilization of transporter -- travel only</t>
  </si>
  <si>
    <r>
      <t>h travel</t>
    </r>
    <r>
      <rPr>
        <sz val="10"/>
        <rFont val="Symbol"/>
        <family val="1"/>
        <charset val="2"/>
      </rPr>
      <t>×</t>
    </r>
    <r>
      <rPr>
        <sz val="11"/>
        <color theme="1"/>
        <rFont val="Calibri"/>
        <family val="2"/>
        <scheme val="minor"/>
      </rPr>
      <t>h</t>
    </r>
    <r>
      <rPr>
        <vertAlign val="superscript"/>
        <sz val="10"/>
        <rFont val="Arial"/>
        <family val="2"/>
      </rPr>
      <t>-1</t>
    </r>
    <r>
      <rPr>
        <sz val="10"/>
        <rFont val="Symbol"/>
        <family val="1"/>
        <charset val="2"/>
      </rPr>
      <t>×</t>
    </r>
    <r>
      <rPr>
        <sz val="11"/>
        <color theme="1"/>
        <rFont val="Calibri"/>
        <family val="2"/>
        <scheme val="minor"/>
      </rPr>
      <t>transporter</t>
    </r>
    <r>
      <rPr>
        <vertAlign val="superscript"/>
        <sz val="10"/>
        <rFont val="Arial"/>
        <family val="2"/>
      </rPr>
      <t>-1</t>
    </r>
  </si>
  <si>
    <t>=Tt/CT</t>
  </si>
  <si>
    <t>Utb</t>
  </si>
  <si>
    <t>Utilization of transporter -- overall</t>
  </si>
  <si>
    <r>
      <t>h busy</t>
    </r>
    <r>
      <rPr>
        <sz val="10"/>
        <rFont val="Symbol"/>
        <family val="1"/>
        <charset val="2"/>
      </rPr>
      <t>×</t>
    </r>
    <r>
      <rPr>
        <sz val="11"/>
        <color theme="1"/>
        <rFont val="Calibri"/>
        <family val="2"/>
        <scheme val="minor"/>
      </rPr>
      <t>h</t>
    </r>
    <r>
      <rPr>
        <vertAlign val="superscript"/>
        <sz val="10"/>
        <rFont val="Arial"/>
        <family val="2"/>
      </rPr>
      <t>-1</t>
    </r>
    <r>
      <rPr>
        <sz val="10"/>
        <rFont val="Symbol"/>
        <family val="1"/>
        <charset val="2"/>
      </rPr>
      <t>×</t>
    </r>
    <r>
      <rPr>
        <sz val="11"/>
        <color theme="1"/>
        <rFont val="Calibri"/>
        <family val="2"/>
        <scheme val="minor"/>
      </rPr>
      <t>transporter</t>
    </r>
    <r>
      <rPr>
        <vertAlign val="superscript"/>
        <sz val="10"/>
        <rFont val="Arial"/>
        <family val="2"/>
      </rPr>
      <t>-1</t>
    </r>
  </si>
  <si>
    <t>=(CT-Ti_t)/CT</t>
  </si>
  <si>
    <t>Uua</t>
  </si>
  <si>
    <t>Utilization of unloader -- unloading only</t>
  </si>
  <si>
    <r>
      <t>h unloading</t>
    </r>
    <r>
      <rPr>
        <sz val="10"/>
        <rFont val="Symbol"/>
        <family val="1"/>
        <charset val="2"/>
      </rPr>
      <t>×</t>
    </r>
    <r>
      <rPr>
        <sz val="11"/>
        <color theme="1"/>
        <rFont val="Calibri"/>
        <family val="2"/>
        <scheme val="minor"/>
      </rPr>
      <t>h</t>
    </r>
    <r>
      <rPr>
        <vertAlign val="superscript"/>
        <sz val="10"/>
        <rFont val="Arial"/>
        <family val="2"/>
      </rPr>
      <t>-1</t>
    </r>
  </si>
  <si>
    <t>=Nt*(Vt/Cm_u)/CT</t>
  </si>
  <si>
    <t>Uub</t>
  </si>
  <si>
    <t>Utilization of unloader -- overall</t>
  </si>
  <si>
    <r>
      <t>h busy</t>
    </r>
    <r>
      <rPr>
        <sz val="10"/>
        <rFont val="Symbol"/>
        <family val="1"/>
        <charset val="2"/>
      </rPr>
      <t>×</t>
    </r>
    <r>
      <rPr>
        <sz val="11"/>
        <color theme="1"/>
        <rFont val="Calibri"/>
        <family val="2"/>
        <scheme val="minor"/>
      </rPr>
      <t>h</t>
    </r>
    <r>
      <rPr>
        <vertAlign val="superscript"/>
        <sz val="10"/>
        <rFont val="Arial"/>
        <family val="2"/>
      </rPr>
      <t>-1</t>
    </r>
  </si>
  <si>
    <t>=CTu/CT</t>
  </si>
  <si>
    <t>UL</t>
  </si>
  <si>
    <t>Utilization of labor</t>
  </si>
  <si>
    <r>
      <t>h working</t>
    </r>
    <r>
      <rPr>
        <sz val="10"/>
        <rFont val="Symbol"/>
        <family val="1"/>
        <charset val="2"/>
      </rPr>
      <t>×</t>
    </r>
    <r>
      <rPr>
        <sz val="11"/>
        <color theme="1"/>
        <rFont val="Calibri"/>
        <family val="2"/>
        <scheme val="minor"/>
      </rPr>
      <t>h</t>
    </r>
    <r>
      <rPr>
        <vertAlign val="superscript"/>
        <sz val="10"/>
        <rFont val="Arial"/>
        <family val="2"/>
      </rPr>
      <t>-1</t>
    </r>
  </si>
  <si>
    <t>=1-Li/(L*CT)</t>
  </si>
  <si>
    <t>Csys_a</t>
  </si>
  <si>
    <t>material capacity of the system</t>
  </si>
  <si>
    <t>=Uh*Ef_max*Cm_max</t>
  </si>
  <si>
    <t>Ef,h,act</t>
  </si>
  <si>
    <t>actual field efficiency of the harvester</t>
  </si>
  <si>
    <t>=Csys_a/Cm_max</t>
  </si>
  <si>
    <t>total time to get the job done</t>
  </si>
  <si>
    <t>=Y*A/Csys_a</t>
  </si>
  <si>
    <t>Lt</t>
  </si>
  <si>
    <t>total labor to get the job done</t>
  </si>
  <si>
    <t>=L*T</t>
  </si>
  <si>
    <t>Csys,b</t>
  </si>
  <si>
    <t>material capacity of the system, a check</t>
  </si>
  <si>
    <t>=Vc/CT</t>
  </si>
  <si>
    <t>Dt varying</t>
  </si>
  <si>
    <t>Pe/Pne</t>
  </si>
  <si>
    <t>rows</t>
  </si>
  <si>
    <t>Pne</t>
  </si>
  <si>
    <t>look up in D497  - no till planter</t>
  </si>
  <si>
    <t>projects back to 1 at May 25</t>
  </si>
  <si>
    <t>Problem Description:</t>
  </si>
  <si>
    <t>brief description here, perhaps the reference</t>
  </si>
  <si>
    <t>Solution by:</t>
  </si>
  <si>
    <t>your name here</t>
  </si>
  <si>
    <t>INTERMEDIATE CALCULATIONS</t>
  </si>
  <si>
    <t>.</t>
  </si>
  <si>
    <t>lb/PTO hp</t>
  </si>
  <si>
    <t>From MF-588 table 2</t>
  </si>
  <si>
    <t>From MF-588 table 1</t>
  </si>
  <si>
    <t>tt</t>
  </si>
  <si>
    <t>tractor type</t>
  </si>
  <si>
    <t>imt</t>
  </si>
  <si>
    <t>implement mount type</t>
  </si>
  <si>
    <t>travel speed</t>
  </si>
  <si>
    <t>rated PTO power of tractor</t>
  </si>
  <si>
    <t>wpr</t>
  </si>
  <si>
    <t>weight to power ratio</t>
  </si>
  <si>
    <t>ttw</t>
  </si>
  <si>
    <t>target total weight</t>
  </si>
  <si>
    <t>tfp</t>
  </si>
  <si>
    <t>target front percentage</t>
  </si>
  <si>
    <t>tfa</t>
  </si>
  <si>
    <t>target front axle weight</t>
  </si>
  <si>
    <t>tra</t>
  </si>
  <si>
    <t>target rear axle weight</t>
  </si>
  <si>
    <t>=MIN(160,IF(@tt'=3,-25*@S+260,-22.5*@S+229))</t>
  </si>
  <si>
    <t>=@wpr*@P</t>
  </si>
  <si>
    <t>=MROUND(@ttw*@tfp/100,50)</t>
  </si>
  <si>
    <t>=MROUND(@ttw-@tfa,50)</t>
  </si>
  <si>
    <t>D. Buckmaster, Purdue ABE</t>
  </si>
  <si>
    <t>Tractor ballasting tool</t>
  </si>
  <si>
    <t>=VLOOKUP(@imt,goodtable,@tt+1,FALSE)</t>
  </si>
  <si>
    <t>See:</t>
  </si>
  <si>
    <t>https://elibrary.asabe.org/login.asp?JID=5&amp;AID=43828&amp;CID=miss2013&amp;v=&amp;i=&amp;T=1&amp;refer=7&amp;access=</t>
  </si>
  <si>
    <t>https://www.sciencedirect.com/science/article/abs/pii/S0168169904001565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</si>
</sst>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.0000000"/>
    <numFmt numFmtId="165" formatCode="#,##0.0000000_);\(#,##0.0000000\)"/>
    <numFmt numFmtId="166" formatCode="0.0"/>
    <numFmt numFmtId="167" formatCode="0.000"/>
    <numFmt numFmtId="168" formatCode="#,##0.000_);\(#,##0.000\)"/>
    <numFmt numFmtId="169" formatCode="0.000000"/>
    <numFmt numFmtId="170" formatCode="0.00000"/>
    <numFmt numFmtId="171" formatCode="0.0000"/>
    <numFmt numFmtId="172" formatCode="0_)"/>
    <numFmt numFmtId="173" formatCode="0.000E+00"/>
    <numFmt numFmtId="174" formatCode="&quot;$&quot;#,##0.00"/>
    <numFmt numFmtId="175" formatCode="&quot;$&quot;#,##0"/>
  </numFmts>
  <fonts count="32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Courier"/>
      <family val="3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color rgb="FF0070C0"/>
      <name val="Arial"/>
      <family val="2"/>
    </font>
    <font>
      <b/>
      <sz val="11"/>
      <color indexed="10"/>
      <name val="Arial"/>
      <family val="2"/>
    </font>
    <font>
      <b/>
      <sz val="12"/>
      <color indexed="10"/>
      <name val="Arial"/>
      <family val="2"/>
    </font>
    <font>
      <sz val="8"/>
      <name val="Arial"/>
      <family val="2"/>
    </font>
    <font>
      <b/>
      <sz val="9"/>
      <color indexed="81"/>
      <name val="Tahoma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i/>
      <sz val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6"/>
      <name val="Arial"/>
      <family val="2"/>
    </font>
    <font>
      <i/>
      <sz val="10"/>
      <name val="Arial"/>
      <family val="2"/>
    </font>
    <font>
      <sz val="10"/>
      <name val="Symbol"/>
      <family val="1"/>
      <charset val="2"/>
    </font>
    <font>
      <vertAlign val="superscript"/>
      <sz val="10"/>
      <name val="Arial"/>
      <family val="2"/>
    </font>
    <font>
      <b/>
      <i/>
      <sz val="10"/>
      <name val="Arial"/>
      <family val="2"/>
    </font>
    <font>
      <sz val="8"/>
      <color rgb="FF000000"/>
      <name val="Tahoma"/>
      <family val="2"/>
    </font>
    <font>
      <i/>
      <sz val="10"/>
      <color theme="1"/>
      <name val="Arial"/>
      <family val="2"/>
    </font>
    <font>
      <b/>
      <i/>
      <sz val="12"/>
      <color theme="1"/>
      <name val="Arial"/>
      <family val="2"/>
    </font>
    <font>
      <sz val="8"/>
      <color rgb="FF000000"/>
      <name val="Segoe UI"/>
      <family val="2"/>
    </font>
    <font>
      <u/>
      <sz val="11"/>
      <color theme="1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39" fontId="3" fillId="0" borderId="0"/>
    <xf numFmtId="0" fontId="13" fillId="0" borderId="0"/>
    <xf numFmtId="0" fontId="16" fillId="0" borderId="0"/>
    <xf numFmtId="0" fontId="1" fillId="0" borderId="0"/>
    <xf numFmtId="0" fontId="16" fillId="0" borderId="0"/>
    <xf numFmtId="0" fontId="31" fillId="0" borderId="0" applyNumberFormat="0" applyFill="0" applyBorder="0" applyAlignment="0" applyProtection="0"/>
  </cellStyleXfs>
  <cellXfs count="255">
    <xf numFmtId="0" fontId="0" fillId="0" borderId="0" xfId="0"/>
    <xf numFmtId="39" fontId="4" fillId="0" borderId="0" xfId="1" applyFont="1"/>
    <xf numFmtId="39" fontId="4" fillId="0" borderId="0" xfId="1" applyFont="1" applyFill="1"/>
    <xf numFmtId="2" fontId="4" fillId="0" borderId="0" xfId="1" applyNumberFormat="1" applyFont="1" applyFill="1"/>
    <xf numFmtId="164" fontId="4" fillId="0" borderId="0" xfId="1" applyNumberFormat="1" applyFont="1" applyFill="1"/>
    <xf numFmtId="165" fontId="4" fillId="0" borderId="0" xfId="1" applyNumberFormat="1" applyFont="1"/>
    <xf numFmtId="1" fontId="4" fillId="0" borderId="0" xfId="1" quotePrefix="1" applyNumberFormat="1" applyFont="1" applyFill="1"/>
    <xf numFmtId="1" fontId="4" fillId="0" borderId="0" xfId="1" applyNumberFormat="1" applyFont="1" applyFill="1"/>
    <xf numFmtId="39" fontId="4" fillId="2" borderId="0" xfId="1" applyFont="1" applyFill="1"/>
    <xf numFmtId="1" fontId="4" fillId="2" borderId="0" xfId="1" quotePrefix="1" applyNumberFormat="1" applyFont="1" applyFill="1"/>
    <xf numFmtId="1" fontId="4" fillId="2" borderId="0" xfId="1" applyNumberFormat="1" applyFont="1" applyFill="1"/>
    <xf numFmtId="39" fontId="4" fillId="3" borderId="0" xfId="1" applyFont="1" applyFill="1"/>
    <xf numFmtId="2" fontId="5" fillId="3" borderId="0" xfId="1" quotePrefix="1" applyNumberFormat="1" applyFont="1" applyFill="1"/>
    <xf numFmtId="39" fontId="5" fillId="3" borderId="0" xfId="1" applyFont="1" applyFill="1"/>
    <xf numFmtId="2" fontId="5" fillId="3" borderId="0" xfId="1" applyNumberFormat="1" applyFont="1" applyFill="1"/>
    <xf numFmtId="2" fontId="4" fillId="0" borderId="0" xfId="1" quotePrefix="1" applyNumberFormat="1" applyFont="1" applyFill="1"/>
    <xf numFmtId="2" fontId="4" fillId="2" borderId="0" xfId="1" quotePrefix="1" applyNumberFormat="1" applyFont="1" applyFill="1"/>
    <xf numFmtId="2" fontId="4" fillId="2" borderId="0" xfId="1" applyNumberFormat="1" applyFont="1" applyFill="1"/>
    <xf numFmtId="166" fontId="4" fillId="2" borderId="0" xfId="1" quotePrefix="1" applyNumberFormat="1" applyFont="1" applyFill="1"/>
    <xf numFmtId="166" fontId="4" fillId="2" borderId="0" xfId="1" applyNumberFormat="1" applyFont="1" applyFill="1"/>
    <xf numFmtId="167" fontId="4" fillId="2" borderId="0" xfId="1" quotePrefix="1" applyNumberFormat="1" applyFont="1" applyFill="1"/>
    <xf numFmtId="167" fontId="4" fillId="2" borderId="0" xfId="1" applyNumberFormat="1" applyFont="1" applyFill="1"/>
    <xf numFmtId="1" fontId="5" fillId="2" borderId="0" xfId="1" quotePrefix="1" applyNumberFormat="1" applyFont="1" applyFill="1"/>
    <xf numFmtId="39" fontId="5" fillId="2" borderId="0" xfId="1" applyFont="1" applyFill="1"/>
    <xf numFmtId="1" fontId="5" fillId="2" borderId="0" xfId="1" applyNumberFormat="1" applyFont="1" applyFill="1"/>
    <xf numFmtId="1" fontId="6" fillId="2" borderId="0" xfId="1" applyNumberFormat="1" applyFont="1" applyFill="1"/>
    <xf numFmtId="1" fontId="4" fillId="3" borderId="0" xfId="1" applyNumberFormat="1" applyFont="1" applyFill="1"/>
    <xf numFmtId="1" fontId="4" fillId="3" borderId="0" xfId="1" quotePrefix="1" applyNumberFormat="1" applyFont="1" applyFill="1"/>
    <xf numFmtId="2" fontId="4" fillId="3" borderId="0" xfId="1" quotePrefix="1" applyNumberFormat="1" applyFont="1" applyFill="1"/>
    <xf numFmtId="2" fontId="4" fillId="3" borderId="0" xfId="1" applyNumberFormat="1" applyFont="1" applyFill="1"/>
    <xf numFmtId="166" fontId="4" fillId="3" borderId="0" xfId="1" quotePrefix="1" applyNumberFormat="1" applyFont="1" applyFill="1"/>
    <xf numFmtId="166" fontId="4" fillId="3" borderId="0" xfId="1" applyNumberFormat="1" applyFont="1" applyFill="1"/>
    <xf numFmtId="1" fontId="5" fillId="3" borderId="0" xfId="1" quotePrefix="1" applyNumberFormat="1" applyFont="1" applyFill="1"/>
    <xf numFmtId="1" fontId="5" fillId="3" borderId="0" xfId="1" applyNumberFormat="1" applyFont="1" applyFill="1"/>
    <xf numFmtId="39" fontId="4" fillId="3" borderId="0" xfId="1" quotePrefix="1" applyFont="1" applyFill="1"/>
    <xf numFmtId="39" fontId="4" fillId="3" borderId="0" xfId="1" applyFont="1" applyFill="1" applyBorder="1"/>
    <xf numFmtId="168" fontId="6" fillId="3" borderId="0" xfId="1" applyNumberFormat="1" applyFont="1" applyFill="1" applyBorder="1" applyAlignment="1" applyProtection="1">
      <alignment horizontal="center"/>
    </xf>
    <xf numFmtId="39" fontId="6" fillId="3" borderId="0" xfId="1" applyFont="1" applyFill="1" applyBorder="1" applyAlignment="1" applyProtection="1">
      <alignment horizontal="center"/>
    </xf>
    <xf numFmtId="39" fontId="7" fillId="0" borderId="0" xfId="1" applyFont="1"/>
    <xf numFmtId="39" fontId="4" fillId="4" borderId="0" xfId="1" applyFont="1" applyFill="1"/>
    <xf numFmtId="1" fontId="4" fillId="4" borderId="0" xfId="1" quotePrefix="1" applyNumberFormat="1" applyFont="1" applyFill="1"/>
    <xf numFmtId="1" fontId="4" fillId="4" borderId="0" xfId="1" applyNumberFormat="1" applyFont="1" applyFill="1"/>
    <xf numFmtId="167" fontId="4" fillId="4" borderId="0" xfId="1" quotePrefix="1" applyNumberFormat="1" applyFont="1" applyFill="1"/>
    <xf numFmtId="167" fontId="4" fillId="4" borderId="0" xfId="1" applyNumberFormat="1" applyFont="1" applyFill="1"/>
    <xf numFmtId="166" fontId="4" fillId="4" borderId="0" xfId="1" quotePrefix="1" applyNumberFormat="1" applyFont="1" applyFill="1"/>
    <xf numFmtId="166" fontId="4" fillId="4" borderId="0" xfId="1" applyNumberFormat="1" applyFont="1" applyFill="1"/>
    <xf numFmtId="2" fontId="4" fillId="4" borderId="0" xfId="1" quotePrefix="1" applyNumberFormat="1" applyFont="1" applyFill="1"/>
    <xf numFmtId="2" fontId="4" fillId="4" borderId="0" xfId="1" applyNumberFormat="1" applyFont="1" applyFill="1"/>
    <xf numFmtId="2" fontId="4" fillId="0" borderId="0" xfId="1" applyNumberFormat="1" applyFont="1"/>
    <xf numFmtId="39" fontId="4" fillId="5" borderId="0" xfId="1" applyFont="1" applyFill="1"/>
    <xf numFmtId="1" fontId="4" fillId="5" borderId="0" xfId="1" applyNumberFormat="1" applyFont="1" applyFill="1"/>
    <xf numFmtId="167" fontId="4" fillId="5" borderId="0" xfId="1" applyNumberFormat="1" applyFont="1" applyFill="1"/>
    <xf numFmtId="39" fontId="7" fillId="5" borderId="0" xfId="1" applyFont="1" applyFill="1"/>
    <xf numFmtId="2" fontId="4" fillId="6" borderId="0" xfId="1" applyNumberFormat="1" applyFont="1" applyFill="1"/>
    <xf numFmtId="1" fontId="4" fillId="6" borderId="0" xfId="1" applyNumberFormat="1" applyFont="1" applyFill="1"/>
    <xf numFmtId="39" fontId="4" fillId="7" borderId="0" xfId="1" applyFont="1" applyFill="1"/>
    <xf numFmtId="166" fontId="4" fillId="6" borderId="0" xfId="1" applyNumberFormat="1" applyFont="1" applyFill="1"/>
    <xf numFmtId="2" fontId="8" fillId="8" borderId="0" xfId="1" applyNumberFormat="1" applyFont="1" applyFill="1"/>
    <xf numFmtId="167" fontId="8" fillId="8" borderId="0" xfId="1" applyNumberFormat="1" applyFont="1" applyFill="1"/>
    <xf numFmtId="166" fontId="8" fillId="8" borderId="0" xfId="1" applyNumberFormat="1" applyFont="1" applyFill="1"/>
    <xf numFmtId="169" fontId="4" fillId="9" borderId="0" xfId="1" applyNumberFormat="1" applyFont="1" applyFill="1"/>
    <xf numFmtId="170" fontId="4" fillId="9" borderId="0" xfId="1" applyNumberFormat="1" applyFont="1" applyFill="1"/>
    <xf numFmtId="171" fontId="4" fillId="9" borderId="0" xfId="1" applyNumberFormat="1" applyFont="1" applyFill="1"/>
    <xf numFmtId="1" fontId="8" fillId="9" borderId="0" xfId="1" applyNumberFormat="1" applyFont="1" applyFill="1"/>
    <xf numFmtId="1" fontId="4" fillId="9" borderId="0" xfId="1" applyNumberFormat="1" applyFont="1" applyFill="1"/>
    <xf numFmtId="167" fontId="4" fillId="9" borderId="0" xfId="1" applyNumberFormat="1" applyFont="1" applyFill="1"/>
    <xf numFmtId="2" fontId="4" fillId="8" borderId="0" xfId="1" applyNumberFormat="1" applyFont="1" applyFill="1"/>
    <xf numFmtId="39" fontId="4" fillId="8" borderId="0" xfId="1" applyFont="1" applyFill="1"/>
    <xf numFmtId="1" fontId="4" fillId="10" borderId="0" xfId="1" applyNumberFormat="1" applyFont="1" applyFill="1"/>
    <xf numFmtId="2" fontId="4" fillId="10" borderId="0" xfId="1" applyNumberFormat="1" applyFont="1" applyFill="1"/>
    <xf numFmtId="39" fontId="4" fillId="0" borderId="0" xfId="1" applyFont="1" applyBorder="1"/>
    <xf numFmtId="1" fontId="4" fillId="11" borderId="0" xfId="1" applyNumberFormat="1" applyFont="1" applyFill="1"/>
    <xf numFmtId="2" fontId="4" fillId="11" borderId="0" xfId="1" applyNumberFormat="1" applyFont="1" applyFill="1"/>
    <xf numFmtId="39" fontId="6" fillId="0" borderId="0" xfId="1" applyFont="1" applyBorder="1"/>
    <xf numFmtId="39" fontId="6" fillId="0" borderId="0" xfId="1" applyFont="1" applyBorder="1" applyAlignment="1" applyProtection="1">
      <alignment horizontal="left"/>
    </xf>
    <xf numFmtId="168" fontId="9" fillId="0" borderId="0" xfId="1" applyNumberFormat="1" applyFont="1" applyBorder="1" applyProtection="1"/>
    <xf numFmtId="39" fontId="6" fillId="0" borderId="0" xfId="1" applyFont="1" applyFill="1" applyBorder="1" applyAlignment="1" applyProtection="1">
      <alignment horizontal="left"/>
    </xf>
    <xf numFmtId="2" fontId="8" fillId="11" borderId="0" xfId="1" applyNumberFormat="1" applyFont="1" applyFill="1"/>
    <xf numFmtId="39" fontId="6" fillId="0" borderId="0" xfId="1" applyFont="1" applyFill="1" applyBorder="1" applyAlignment="1" applyProtection="1">
      <alignment horizontal="center"/>
    </xf>
    <xf numFmtId="39" fontId="4" fillId="0" borderId="0" xfId="1" applyFont="1" applyFill="1" applyAlignment="1">
      <alignment horizontal="right"/>
    </xf>
    <xf numFmtId="39" fontId="6" fillId="0" borderId="0" xfId="1" applyFont="1" applyBorder="1" applyProtection="1"/>
    <xf numFmtId="37" fontId="9" fillId="0" borderId="0" xfId="1" applyNumberFormat="1" applyFont="1" applyBorder="1" applyProtection="1"/>
    <xf numFmtId="1" fontId="4" fillId="12" borderId="0" xfId="1" quotePrefix="1" applyNumberFormat="1" applyFont="1" applyFill="1"/>
    <xf numFmtId="1" fontId="4" fillId="12" borderId="0" xfId="1" applyNumberFormat="1" applyFont="1" applyFill="1"/>
    <xf numFmtId="172" fontId="9" fillId="0" borderId="0" xfId="1" applyNumberFormat="1" applyFont="1" applyBorder="1" applyProtection="1"/>
    <xf numFmtId="39" fontId="6" fillId="13" borderId="0" xfId="1" applyFont="1" applyFill="1" applyBorder="1" applyAlignment="1" applyProtection="1">
      <alignment horizontal="center"/>
    </xf>
    <xf numFmtId="39" fontId="4" fillId="13" borderId="0" xfId="1" applyFont="1" applyFill="1"/>
    <xf numFmtId="39" fontId="4" fillId="13" borderId="0" xfId="1" applyFont="1" applyFill="1" applyAlignment="1">
      <alignment horizontal="right"/>
    </xf>
    <xf numFmtId="39" fontId="4" fillId="0" borderId="0" xfId="1" applyFont="1" applyBorder="1" applyProtection="1"/>
    <xf numFmtId="37" fontId="10" fillId="0" borderId="0" xfId="1" applyNumberFormat="1" applyFont="1" applyBorder="1" applyProtection="1"/>
    <xf numFmtId="39" fontId="4" fillId="0" borderId="0" xfId="1" applyFont="1" applyBorder="1" applyAlignment="1" applyProtection="1">
      <alignment horizontal="left"/>
    </xf>
    <xf numFmtId="166" fontId="4" fillId="0" borderId="0" xfId="1" applyNumberFormat="1" applyFont="1" applyFill="1"/>
    <xf numFmtId="166" fontId="8" fillId="12" borderId="0" xfId="1" applyNumberFormat="1" applyFont="1" applyFill="1"/>
    <xf numFmtId="168" fontId="6" fillId="0" borderId="0" xfId="1" applyNumberFormat="1" applyFont="1" applyBorder="1" applyAlignment="1" applyProtection="1">
      <alignment horizontal="center"/>
    </xf>
    <xf numFmtId="39" fontId="6" fillId="0" borderId="0" xfId="1" applyFont="1" applyBorder="1" applyAlignment="1" applyProtection="1">
      <alignment horizontal="center"/>
    </xf>
    <xf numFmtId="39" fontId="4" fillId="13" borderId="0" xfId="1" applyFont="1" applyFill="1" applyBorder="1" applyAlignment="1" applyProtection="1">
      <alignment horizontal="center"/>
    </xf>
    <xf numFmtId="39" fontId="4" fillId="13" borderId="0" xfId="1" applyFont="1" applyFill="1" applyAlignment="1">
      <alignment horizontal="left"/>
    </xf>
    <xf numFmtId="168" fontId="6" fillId="13" borderId="0" xfId="1" applyNumberFormat="1" applyFont="1" applyFill="1" applyBorder="1" applyAlignment="1" applyProtection="1">
      <alignment horizontal="right"/>
    </xf>
    <xf numFmtId="168" fontId="6" fillId="0" borderId="0" xfId="1" applyNumberFormat="1" applyFont="1" applyFill="1" applyBorder="1" applyAlignment="1" applyProtection="1">
      <alignment horizontal="center"/>
    </xf>
    <xf numFmtId="168" fontId="6" fillId="13" borderId="0" xfId="1" applyNumberFormat="1" applyFont="1" applyFill="1" applyBorder="1" applyAlignment="1" applyProtection="1">
      <alignment horizontal="center"/>
    </xf>
    <xf numFmtId="39" fontId="6" fillId="13" borderId="0" xfId="1" applyFont="1" applyFill="1" applyBorder="1" applyAlignment="1" applyProtection="1">
      <alignment horizontal="left"/>
    </xf>
    <xf numFmtId="37" fontId="4" fillId="13" borderId="0" xfId="1" applyNumberFormat="1" applyFont="1" applyFill="1"/>
    <xf numFmtId="39" fontId="11" fillId="13" borderId="0" xfId="1" applyFont="1" applyFill="1" applyBorder="1" applyAlignment="1" applyProtection="1">
      <alignment horizontal="center"/>
    </xf>
    <xf numFmtId="0" fontId="14" fillId="9" borderId="0" xfId="2" applyFont="1" applyFill="1"/>
    <xf numFmtId="0" fontId="13" fillId="9" borderId="0" xfId="2" applyFill="1"/>
    <xf numFmtId="0" fontId="13" fillId="0" borderId="0" xfId="2"/>
    <xf numFmtId="0" fontId="14" fillId="0" borderId="0" xfId="2" applyFont="1"/>
    <xf numFmtId="0" fontId="13" fillId="15" borderId="0" xfId="2" applyFill="1" applyBorder="1"/>
    <xf numFmtId="0" fontId="17" fillId="0" borderId="0" xfId="3" applyFont="1"/>
    <xf numFmtId="0" fontId="16" fillId="0" borderId="0" xfId="3"/>
    <xf numFmtId="0" fontId="16" fillId="0" borderId="0" xfId="3" applyProtection="1">
      <protection locked="0"/>
    </xf>
    <xf numFmtId="0" fontId="17" fillId="0" borderId="1" xfId="3" applyFont="1" applyBorder="1"/>
    <xf numFmtId="0" fontId="16" fillId="0" borderId="2" xfId="3" applyBorder="1"/>
    <xf numFmtId="0" fontId="16" fillId="0" borderId="3" xfId="3" applyBorder="1"/>
    <xf numFmtId="0" fontId="16" fillId="0" borderId="4" xfId="3" applyBorder="1" applyAlignment="1">
      <alignment horizontal="center"/>
    </xf>
    <xf numFmtId="0" fontId="16" fillId="0" borderId="0" xfId="3" applyBorder="1" applyAlignment="1">
      <alignment horizontal="center"/>
    </xf>
    <xf numFmtId="0" fontId="16" fillId="0" borderId="5" xfId="3" applyBorder="1" applyAlignment="1">
      <alignment horizontal="center"/>
    </xf>
    <xf numFmtId="2" fontId="16" fillId="0" borderId="0" xfId="3" applyNumberFormat="1"/>
    <xf numFmtId="166" fontId="16" fillId="0" borderId="0" xfId="3" quotePrefix="1" applyNumberFormat="1"/>
    <xf numFmtId="0" fontId="16" fillId="0" borderId="4" xfId="3" applyBorder="1"/>
    <xf numFmtId="0" fontId="16" fillId="0" borderId="0" xfId="3" quotePrefix="1"/>
    <xf numFmtId="166" fontId="16" fillId="0" borderId="0" xfId="3" applyNumberFormat="1" applyBorder="1" applyAlignment="1">
      <alignment horizontal="center"/>
    </xf>
    <xf numFmtId="166" fontId="16" fillId="0" borderId="5" xfId="3" applyNumberFormat="1" applyBorder="1" applyAlignment="1">
      <alignment horizontal="center"/>
    </xf>
    <xf numFmtId="0" fontId="16" fillId="0" borderId="6" xfId="3" applyBorder="1" applyAlignment="1">
      <alignment horizontal="center"/>
    </xf>
    <xf numFmtId="0" fontId="16" fillId="0" borderId="7" xfId="3" applyBorder="1" applyAlignment="1">
      <alignment horizontal="center"/>
    </xf>
    <xf numFmtId="166" fontId="16" fillId="0" borderId="7" xfId="3" applyNumberFormat="1" applyBorder="1" applyAlignment="1">
      <alignment horizontal="center"/>
    </xf>
    <xf numFmtId="166" fontId="16" fillId="0" borderId="8" xfId="3" applyNumberFormat="1" applyBorder="1" applyAlignment="1">
      <alignment horizontal="center"/>
    </xf>
    <xf numFmtId="166" fontId="16" fillId="0" borderId="0" xfId="3" applyNumberFormat="1"/>
    <xf numFmtId="0" fontId="16" fillId="0" borderId="0" xfId="3" applyAlignment="1">
      <alignment horizontal="center"/>
    </xf>
    <xf numFmtId="0" fontId="16" fillId="16" borderId="0" xfId="3" applyFill="1" applyAlignment="1">
      <alignment horizontal="center"/>
    </xf>
    <xf numFmtId="166" fontId="17" fillId="16" borderId="0" xfId="3" applyNumberFormat="1" applyFont="1" applyFill="1" applyAlignment="1">
      <alignment horizontal="center"/>
    </xf>
    <xf numFmtId="166" fontId="16" fillId="16" borderId="0" xfId="3" applyNumberFormat="1" applyFill="1" applyAlignment="1">
      <alignment horizontal="center"/>
    </xf>
    <xf numFmtId="0" fontId="16" fillId="0" borderId="0" xfId="3" applyFont="1"/>
    <xf numFmtId="0" fontId="16" fillId="0" borderId="0" xfId="3" applyBorder="1"/>
    <xf numFmtId="2" fontId="17" fillId="0" borderId="0" xfId="3" applyNumberFormat="1" applyFont="1"/>
    <xf numFmtId="2" fontId="16" fillId="0" borderId="0" xfId="3" applyNumberFormat="1" applyBorder="1"/>
    <xf numFmtId="167" fontId="16" fillId="0" borderId="0" xfId="3" applyNumberFormat="1"/>
    <xf numFmtId="1" fontId="16" fillId="0" borderId="0" xfId="3" applyNumberFormat="1"/>
    <xf numFmtId="2" fontId="16" fillId="0" borderId="0" xfId="3" quotePrefix="1" applyNumberFormat="1" applyFont="1"/>
    <xf numFmtId="171" fontId="16" fillId="0" borderId="0" xfId="3" applyNumberFormat="1"/>
    <xf numFmtId="0" fontId="16" fillId="0" borderId="0" xfId="3" applyAlignment="1">
      <alignment horizontal="right"/>
    </xf>
    <xf numFmtId="0" fontId="16" fillId="17" borderId="0" xfId="3" applyFill="1" applyBorder="1"/>
    <xf numFmtId="0" fontId="16" fillId="17" borderId="0" xfId="3" applyFill="1"/>
    <xf numFmtId="2" fontId="16" fillId="17" borderId="0" xfId="3" applyNumberFormat="1" applyFill="1" applyBorder="1"/>
    <xf numFmtId="2" fontId="16" fillId="14" borderId="0" xfId="3" applyNumberFormat="1" applyFill="1"/>
    <xf numFmtId="0" fontId="16" fillId="14" borderId="0" xfId="3" applyFill="1"/>
    <xf numFmtId="166" fontId="16" fillId="14" borderId="0" xfId="3" applyNumberFormat="1" applyFill="1"/>
    <xf numFmtId="2" fontId="16" fillId="17" borderId="0" xfId="3" applyNumberFormat="1" applyFill="1"/>
    <xf numFmtId="2" fontId="16" fillId="17" borderId="0" xfId="3" applyNumberFormat="1" applyFont="1" applyFill="1"/>
    <xf numFmtId="1" fontId="16" fillId="17" borderId="0" xfId="3" applyNumberFormat="1" applyFill="1"/>
    <xf numFmtId="16" fontId="16" fillId="0" borderId="0" xfId="3" applyNumberFormat="1"/>
    <xf numFmtId="0" fontId="19" fillId="0" borderId="0" xfId="3" applyFont="1" applyAlignment="1">
      <alignment horizontal="left"/>
    </xf>
    <xf numFmtId="0" fontId="7" fillId="0" borderId="1" xfId="3" applyFont="1" applyBorder="1"/>
    <xf numFmtId="0" fontId="4" fillId="0" borderId="2" xfId="3" applyFont="1" applyBorder="1"/>
    <xf numFmtId="0" fontId="4" fillId="0" borderId="3" xfId="3" applyFont="1" applyBorder="1"/>
    <xf numFmtId="0" fontId="20" fillId="0" borderId="0" xfId="3" applyFont="1" applyBorder="1"/>
    <xf numFmtId="0" fontId="4" fillId="0" borderId="4" xfId="3" applyFont="1" applyBorder="1"/>
    <xf numFmtId="0" fontId="4" fillId="0" borderId="0" xfId="3" applyFont="1" applyBorder="1"/>
    <xf numFmtId="1" fontId="4" fillId="0" borderId="0" xfId="3" applyNumberFormat="1" applyFont="1" applyBorder="1" applyProtection="1">
      <protection locked="0"/>
    </xf>
    <xf numFmtId="0" fontId="4" fillId="0" borderId="5" xfId="3" applyFont="1" applyBorder="1"/>
    <xf numFmtId="0" fontId="4" fillId="0" borderId="0" xfId="3" applyFont="1" applyBorder="1" applyProtection="1">
      <protection locked="0"/>
    </xf>
    <xf numFmtId="0" fontId="16" fillId="0" borderId="0" xfId="3" applyFill="1" applyBorder="1"/>
    <xf numFmtId="167" fontId="16" fillId="0" borderId="0" xfId="3" applyNumberFormat="1" applyBorder="1"/>
    <xf numFmtId="167" fontId="4" fillId="0" borderId="0" xfId="3" applyNumberFormat="1" applyFont="1" applyBorder="1" applyProtection="1">
      <protection locked="0"/>
    </xf>
    <xf numFmtId="167" fontId="16" fillId="0" borderId="0" xfId="3" applyNumberFormat="1" applyFill="1" applyBorder="1"/>
    <xf numFmtId="2" fontId="4" fillId="0" borderId="0" xfId="3" applyNumberFormat="1" applyFont="1" applyBorder="1" applyProtection="1">
      <protection locked="0"/>
    </xf>
    <xf numFmtId="167" fontId="20" fillId="0" borderId="0" xfId="3" applyNumberFormat="1" applyFont="1" applyBorder="1"/>
    <xf numFmtId="2" fontId="16" fillId="0" borderId="0" xfId="3" applyNumberFormat="1" applyFill="1" applyBorder="1"/>
    <xf numFmtId="0" fontId="4" fillId="0" borderId="0" xfId="3" applyFont="1" applyFill="1" applyBorder="1"/>
    <xf numFmtId="1" fontId="4" fillId="0" borderId="0" xfId="3" applyNumberFormat="1" applyFont="1" applyBorder="1"/>
    <xf numFmtId="1" fontId="16" fillId="0" borderId="0" xfId="3" applyNumberFormat="1" applyBorder="1"/>
    <xf numFmtId="0" fontId="7" fillId="0" borderId="4" xfId="3" applyFont="1" applyBorder="1"/>
    <xf numFmtId="0" fontId="4" fillId="0" borderId="5" xfId="3" quotePrefix="1" applyFont="1" applyBorder="1" applyAlignment="1">
      <alignment wrapText="1"/>
    </xf>
    <xf numFmtId="1" fontId="4" fillId="0" borderId="5" xfId="3" applyNumberFormat="1" applyFont="1" applyBorder="1"/>
    <xf numFmtId="166" fontId="4" fillId="0" borderId="0" xfId="3" applyNumberFormat="1" applyFont="1" applyBorder="1"/>
    <xf numFmtId="166" fontId="4" fillId="0" borderId="5" xfId="3" applyNumberFormat="1" applyFont="1" applyBorder="1" applyAlignment="1">
      <alignment wrapText="1"/>
    </xf>
    <xf numFmtId="166" fontId="16" fillId="0" borderId="0" xfId="3" applyNumberFormat="1" applyBorder="1"/>
    <xf numFmtId="2" fontId="4" fillId="0" borderId="0" xfId="3" applyNumberFormat="1" applyFont="1" applyBorder="1"/>
    <xf numFmtId="167" fontId="4" fillId="0" borderId="0" xfId="3" applyNumberFormat="1" applyFont="1" applyBorder="1"/>
    <xf numFmtId="167" fontId="4" fillId="0" borderId="5" xfId="3" applyNumberFormat="1" applyFont="1" applyBorder="1"/>
    <xf numFmtId="0" fontId="21" fillId="0" borderId="0" xfId="3" applyFont="1" applyBorder="1"/>
    <xf numFmtId="38" fontId="4" fillId="0" borderId="0" xfId="3" applyNumberFormat="1" applyFont="1" applyBorder="1"/>
    <xf numFmtId="38" fontId="4" fillId="0" borderId="5" xfId="3" applyNumberFormat="1" applyFont="1" applyBorder="1"/>
    <xf numFmtId="38" fontId="16" fillId="0" borderId="0" xfId="3" applyNumberFormat="1" applyBorder="1"/>
    <xf numFmtId="2" fontId="4" fillId="0" borderId="5" xfId="3" applyNumberFormat="1" applyFont="1" applyBorder="1"/>
    <xf numFmtId="0" fontId="4" fillId="0" borderId="4" xfId="3" applyFont="1" applyFill="1" applyBorder="1"/>
    <xf numFmtId="0" fontId="4" fillId="0" borderId="5" xfId="3" applyFont="1" applyFill="1" applyBorder="1"/>
    <xf numFmtId="0" fontId="7" fillId="0" borderId="0" xfId="3" applyFont="1" applyBorder="1"/>
    <xf numFmtId="167" fontId="7" fillId="0" borderId="0" xfId="3" applyNumberFormat="1" applyFont="1" applyBorder="1"/>
    <xf numFmtId="167" fontId="7" fillId="0" borderId="5" xfId="3" applyNumberFormat="1" applyFont="1" applyBorder="1"/>
    <xf numFmtId="0" fontId="20" fillId="0" borderId="0" xfId="3" applyFont="1"/>
    <xf numFmtId="0" fontId="7" fillId="0" borderId="6" xfId="3" applyFont="1" applyBorder="1"/>
    <xf numFmtId="0" fontId="7" fillId="0" borderId="7" xfId="3" applyFont="1" applyFill="1" applyBorder="1" applyAlignment="1">
      <alignment wrapText="1"/>
    </xf>
    <xf numFmtId="167" fontId="7" fillId="0" borderId="7" xfId="3" applyNumberFormat="1" applyFont="1" applyBorder="1"/>
    <xf numFmtId="0" fontId="7" fillId="0" borderId="7" xfId="3" applyFont="1" applyBorder="1"/>
    <xf numFmtId="167" fontId="7" fillId="0" borderId="8" xfId="3" applyNumberFormat="1" applyFont="1" applyBorder="1"/>
    <xf numFmtId="0" fontId="16" fillId="0" borderId="4" xfId="3" applyFill="1" applyBorder="1"/>
    <xf numFmtId="171" fontId="16" fillId="0" borderId="0" xfId="3" applyNumberFormat="1" applyBorder="1"/>
    <xf numFmtId="171" fontId="16" fillId="0" borderId="0" xfId="3" applyNumberFormat="1" applyFill="1" applyBorder="1"/>
    <xf numFmtId="171" fontId="16" fillId="0" borderId="0" xfId="3" quotePrefix="1" applyNumberFormat="1" applyBorder="1"/>
    <xf numFmtId="0" fontId="16" fillId="0" borderId="0" xfId="3" applyBorder="1" applyAlignment="1">
      <alignment horizontal="right"/>
    </xf>
    <xf numFmtId="170" fontId="16" fillId="0" borderId="0" xfId="3" applyNumberFormat="1"/>
    <xf numFmtId="173" fontId="16" fillId="0" borderId="0" xfId="3" applyNumberFormat="1"/>
    <xf numFmtId="0" fontId="0" fillId="0" borderId="9" xfId="0" applyBorder="1"/>
    <xf numFmtId="0" fontId="2" fillId="18" borderId="9" xfId="0" applyFont="1" applyFill="1" applyBorder="1" applyAlignment="1">
      <alignment horizontal="center"/>
    </xf>
    <xf numFmtId="0" fontId="2" fillId="18" borderId="9" xfId="0" applyFont="1" applyFill="1" applyBorder="1"/>
    <xf numFmtId="0" fontId="2" fillId="0" borderId="9" xfId="0" applyFont="1" applyBorder="1" applyAlignment="1">
      <alignment horizontal="left"/>
    </xf>
    <xf numFmtId="174" fontId="0" fillId="0" borderId="9" xfId="0" applyNumberFormat="1" applyBorder="1"/>
    <xf numFmtId="0" fontId="2" fillId="0" borderId="9" xfId="0" applyFont="1" applyBorder="1"/>
    <xf numFmtId="174" fontId="0" fillId="14" borderId="9" xfId="0" applyNumberFormat="1" applyFill="1" applyBorder="1"/>
    <xf numFmtId="0" fontId="16" fillId="0" borderId="0" xfId="3" applyAlignment="1">
      <alignment wrapText="1"/>
    </xf>
    <xf numFmtId="0" fontId="23" fillId="0" borderId="0" xfId="3" applyFont="1"/>
    <xf numFmtId="0" fontId="16" fillId="0" borderId="0" xfId="3" applyNumberFormat="1"/>
    <xf numFmtId="0" fontId="16" fillId="0" borderId="0" xfId="3" quotePrefix="1" applyAlignment="1">
      <alignment wrapText="1"/>
    </xf>
    <xf numFmtId="167" fontId="16" fillId="0" borderId="0" xfId="3" quotePrefix="1" applyNumberFormat="1" applyAlignment="1">
      <alignment wrapText="1"/>
    </xf>
    <xf numFmtId="167" fontId="16" fillId="0" borderId="0" xfId="3" quotePrefix="1" applyNumberFormat="1" applyFont="1" applyAlignment="1">
      <alignment wrapText="1"/>
    </xf>
    <xf numFmtId="167" fontId="16" fillId="0" borderId="0" xfId="3" quotePrefix="1" applyNumberFormat="1"/>
    <xf numFmtId="167" fontId="16" fillId="0" borderId="0" xfId="3" quotePrefix="1" applyNumberFormat="1" applyFont="1"/>
    <xf numFmtId="2" fontId="16" fillId="0" borderId="0" xfId="3" applyNumberFormat="1" applyAlignment="1">
      <alignment wrapText="1"/>
    </xf>
    <xf numFmtId="2" fontId="16" fillId="0" borderId="0" xfId="3" quotePrefix="1" applyNumberFormat="1" applyAlignment="1">
      <alignment wrapText="1"/>
    </xf>
    <xf numFmtId="2" fontId="16" fillId="0" borderId="0" xfId="3" quotePrefix="1" applyNumberFormat="1" applyFont="1" applyAlignment="1">
      <alignment wrapText="1"/>
    </xf>
    <xf numFmtId="2" fontId="16" fillId="0" borderId="0" xfId="3" quotePrefix="1" applyNumberFormat="1"/>
    <xf numFmtId="166" fontId="16" fillId="0" borderId="0" xfId="3" quotePrefix="1" applyNumberFormat="1" applyAlignment="1">
      <alignment wrapText="1"/>
    </xf>
    <xf numFmtId="166" fontId="16" fillId="0" borderId="0" xfId="3" quotePrefix="1" applyNumberFormat="1" applyFont="1" applyAlignment="1">
      <alignment wrapText="1"/>
    </xf>
    <xf numFmtId="1" fontId="16" fillId="0" borderId="0" xfId="3" quotePrefix="1" applyNumberFormat="1" applyAlignment="1">
      <alignment wrapText="1"/>
    </xf>
    <xf numFmtId="0" fontId="26" fillId="0" borderId="0" xfId="3" applyFont="1"/>
    <xf numFmtId="1" fontId="16" fillId="0" borderId="0" xfId="3" applyNumberFormat="1" applyAlignment="1">
      <alignment wrapText="1"/>
    </xf>
    <xf numFmtId="0" fontId="13" fillId="15" borderId="0" xfId="2" applyFill="1" applyBorder="1" applyAlignment="1">
      <alignment horizontal="center"/>
    </xf>
    <xf numFmtId="175" fontId="16" fillId="0" borderId="0" xfId="3" applyNumberFormat="1"/>
    <xf numFmtId="0" fontId="1" fillId="0" borderId="0" xfId="4"/>
    <xf numFmtId="0" fontId="28" fillId="0" borderId="0" xfId="4" applyFont="1" applyAlignment="1">
      <alignment horizontal="right"/>
    </xf>
    <xf numFmtId="0" fontId="29" fillId="0" borderId="0" xfId="4" applyFont="1" applyAlignment="1">
      <alignment horizontal="center"/>
    </xf>
    <xf numFmtId="0" fontId="14" fillId="19" borderId="0" xfId="4" applyFont="1" applyFill="1"/>
    <xf numFmtId="0" fontId="1" fillId="19" borderId="0" xfId="4" applyFill="1"/>
    <xf numFmtId="0" fontId="14" fillId="20" borderId="0" xfId="4" applyFont="1" applyFill="1"/>
    <xf numFmtId="0" fontId="1" fillId="20" borderId="0" xfId="4" applyFill="1"/>
    <xf numFmtId="0" fontId="14" fillId="21" borderId="0" xfId="4" applyFont="1" applyFill="1"/>
    <xf numFmtId="0" fontId="1" fillId="21" borderId="0" xfId="4" applyFill="1"/>
    <xf numFmtId="0" fontId="13" fillId="15" borderId="0" xfId="2" applyFill="1" applyBorder="1" applyAlignment="1">
      <alignment horizontal="right"/>
    </xf>
    <xf numFmtId="0" fontId="14" fillId="0" borderId="0" xfId="4" applyFont="1"/>
    <xf numFmtId="1" fontId="1" fillId="0" borderId="0" xfId="4" applyNumberFormat="1"/>
    <xf numFmtId="1" fontId="1" fillId="0" borderId="0" xfId="4" quotePrefix="1" applyNumberFormat="1"/>
    <xf numFmtId="0" fontId="1" fillId="0" borderId="0" xfId="4" quotePrefix="1"/>
    <xf numFmtId="0" fontId="1" fillId="0" borderId="0" xfId="4" applyProtection="1">
      <protection locked="0"/>
    </xf>
    <xf numFmtId="0" fontId="14" fillId="0" borderId="0" xfId="4" applyFont="1" applyProtection="1">
      <protection locked="0"/>
    </xf>
    <xf numFmtId="0" fontId="4" fillId="14" borderId="0" xfId="3" applyFont="1" applyFill="1" applyBorder="1" applyProtection="1">
      <protection locked="0"/>
    </xf>
    <xf numFmtId="167" fontId="7" fillId="14" borderId="7" xfId="3" applyNumberFormat="1" applyFont="1" applyFill="1" applyBorder="1"/>
    <xf numFmtId="2" fontId="4" fillId="14" borderId="0" xfId="3" applyNumberFormat="1" applyFont="1" applyFill="1" applyBorder="1" applyProtection="1">
      <protection locked="0"/>
    </xf>
    <xf numFmtId="39" fontId="31" fillId="0" borderId="0" xfId="6" applyNumberFormat="1" applyFill="1" applyBorder="1" applyAlignment="1" applyProtection="1">
      <alignment horizontal="left"/>
    </xf>
    <xf numFmtId="0" fontId="31" fillId="0" borderId="0" xfId="6"/>
    <xf numFmtId="0" fontId="13" fillId="15" borderId="0" xfId="2" applyFill="1" applyBorder="1" applyAlignment="1">
      <alignment horizontal="center"/>
    </xf>
    <xf numFmtId="0" fontId="0" fillId="14" borderId="0" xfId="0" applyFill="1" applyAlignment="1">
      <alignment horizontal="center"/>
    </xf>
    <xf numFmtId="0" fontId="2" fillId="14" borderId="9" xfId="0" applyFont="1" applyFill="1" applyBorder="1" applyAlignment="1">
      <alignment horizontal="center"/>
    </xf>
    <xf numFmtId="0" fontId="22" fillId="0" borderId="0" xfId="3" applyFont="1" applyAlignment="1">
      <alignment horizontal="center"/>
    </xf>
    <xf numFmtId="1" fontId="4" fillId="14" borderId="0" xfId="3" applyNumberFormat="1" applyFont="1" applyFill="1" applyBorder="1" applyProtection="1">
      <protection locked="0"/>
    </xf>
  </cellXfs>
  <cellStyles count="7">
    <cellStyle name="Hyperlink" xfId="6" builtinId="8"/>
    <cellStyle name="Normal" xfId="0" builtinId="0"/>
    <cellStyle name="Normal 2" xfId="1" xr:uid="{944D1CC3-8991-4FBD-897F-3D01B109157F}"/>
    <cellStyle name="Normal 3" xfId="2" xr:uid="{24201C9B-9DF0-4B45-A4BF-37B2368B5CAB}"/>
    <cellStyle name="Normal 3 2" xfId="5" xr:uid="{F2D3D056-478D-421E-AAE2-A04C9AB21338}"/>
    <cellStyle name="Normal 4" xfId="3" xr:uid="{65E9AFA8-E4FC-4787-ADA8-90214A18A5F5}"/>
    <cellStyle name="Normal 5" xfId="4" xr:uid="{F3B6B892-8E65-4B6E-B78E-05C0BE8E520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10" Type="http://schemas.openxmlformats.org/officeDocument/2006/relationships/externalLink" Target="externalLinks/externalLink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2WD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9924321959755027E-2"/>
                  <c:y val="-0.3760356517935258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rgbClr val="0070C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rgbClr val="0070C0"/>
                        </a:solidFill>
                      </a:rPr>
                      <a:t>2WD</a:t>
                    </a:r>
                  </a:p>
                  <a:p>
                    <a:pPr>
                      <a:defRPr>
                        <a:solidFill>
                          <a:srgbClr val="0070C0"/>
                        </a:solidFill>
                      </a:defRPr>
                    </a:pPr>
                    <a:r>
                      <a:rPr lang="en-US" baseline="0">
                        <a:solidFill>
                          <a:srgbClr val="0070C0"/>
                        </a:solidFill>
                      </a:rPr>
                      <a:t>W/P </a:t>
                    </a:r>
                    <a:r>
                      <a:rPr lang="en-US" baseline="-25000">
                        <a:solidFill>
                          <a:srgbClr val="0070C0"/>
                        </a:solidFill>
                      </a:rPr>
                      <a:t>lb/PTO hp</a:t>
                    </a:r>
                    <a:r>
                      <a:rPr lang="en-US" baseline="0">
                        <a:solidFill>
                          <a:srgbClr val="0070C0"/>
                        </a:solidFill>
                      </a:rPr>
                      <a:t> = -25 S</a:t>
                    </a:r>
                    <a:r>
                      <a:rPr lang="en-US" baseline="-25000">
                        <a:solidFill>
                          <a:srgbClr val="0070C0"/>
                        </a:solidFill>
                      </a:rPr>
                      <a:t>mph</a:t>
                    </a:r>
                    <a:r>
                      <a:rPr lang="en-US" baseline="0">
                        <a:solidFill>
                          <a:srgbClr val="0070C0"/>
                        </a:solidFill>
                      </a:rPr>
                      <a:t> + 260</a:t>
                    </a:r>
                    <a:br>
                      <a:rPr lang="en-US" baseline="0">
                        <a:solidFill>
                          <a:srgbClr val="0070C0"/>
                        </a:solidFill>
                      </a:rPr>
                    </a:br>
                    <a:r>
                      <a:rPr lang="en-US" baseline="0">
                        <a:solidFill>
                          <a:srgbClr val="0070C0"/>
                        </a:solidFill>
                      </a:rPr>
                      <a:t>R² = 1</a:t>
                    </a:r>
                    <a:endParaRPr lang="en-US">
                      <a:solidFill>
                        <a:srgbClr val="0070C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0070C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'Ballast tool demo done'!$H$45:$H$47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6</c:v>
                </c:pt>
              </c:numCache>
            </c:numRef>
          </c:xVal>
          <c:yVal>
            <c:numRef>
              <c:f>'Ballast tool demo done'!$I$45:$I$47</c:f>
              <c:numCache>
                <c:formatCode>General</c:formatCode>
                <c:ptCount val="3"/>
                <c:pt idx="0">
                  <c:v>160</c:v>
                </c:pt>
                <c:pt idx="1">
                  <c:v>135</c:v>
                </c:pt>
                <c:pt idx="2">
                  <c:v>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18-4423-9CEB-DBFB82578D38}"/>
            </c:ext>
          </c:extLst>
        </c:ser>
        <c:ser>
          <c:idx val="1"/>
          <c:order val="1"/>
          <c:tx>
            <c:v>4WD or FWA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5645078740157479"/>
                  <c:y val="-0.1791659375911344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accent2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chemeClr val="accent2">
                            <a:lumMod val="75000"/>
                          </a:schemeClr>
                        </a:solidFill>
                      </a:rPr>
                      <a:t>4WD or FWA</a:t>
                    </a:r>
                  </a:p>
                  <a:p>
                    <a:pPr>
                      <a:defRPr>
                        <a:solidFill>
                          <a:schemeClr val="accent2">
                            <a:lumMod val="75000"/>
                          </a:schemeClr>
                        </a:solidFill>
                      </a:defRPr>
                    </a:pPr>
                    <a:r>
                      <a:rPr lang="en-US" baseline="0">
                        <a:solidFill>
                          <a:schemeClr val="accent2">
                            <a:lumMod val="75000"/>
                          </a:schemeClr>
                        </a:solidFill>
                      </a:rPr>
                      <a:t>W/P </a:t>
                    </a:r>
                    <a:r>
                      <a:rPr lang="en-US" baseline="-25000">
                        <a:solidFill>
                          <a:schemeClr val="accent2">
                            <a:lumMod val="75000"/>
                          </a:schemeClr>
                        </a:solidFill>
                      </a:rPr>
                      <a:t>lb/PTO hp </a:t>
                    </a:r>
                    <a:r>
                      <a:rPr lang="en-US" baseline="0">
                        <a:solidFill>
                          <a:schemeClr val="accent2">
                            <a:lumMod val="75000"/>
                          </a:schemeClr>
                        </a:solidFill>
                      </a:rPr>
                      <a:t>= -22.5 S</a:t>
                    </a:r>
                    <a:r>
                      <a:rPr lang="en-US" baseline="-25000">
                        <a:solidFill>
                          <a:schemeClr val="accent2">
                            <a:lumMod val="75000"/>
                          </a:schemeClr>
                        </a:solidFill>
                      </a:rPr>
                      <a:t>mph</a:t>
                    </a:r>
                    <a:r>
                      <a:rPr lang="en-US" baseline="0">
                        <a:solidFill>
                          <a:schemeClr val="accent2">
                            <a:lumMod val="75000"/>
                          </a:schemeClr>
                        </a:solidFill>
                      </a:rPr>
                      <a:t> + 229.17</a:t>
                    </a:r>
                    <a:br>
                      <a:rPr lang="en-US" baseline="0">
                        <a:solidFill>
                          <a:schemeClr val="accent2">
                            <a:lumMod val="75000"/>
                          </a:schemeClr>
                        </a:solidFill>
                      </a:rPr>
                    </a:br>
                    <a:r>
                      <a:rPr lang="en-US" baseline="0">
                        <a:solidFill>
                          <a:schemeClr val="accent2">
                            <a:lumMod val="75000"/>
                          </a:schemeClr>
                        </a:solidFill>
                      </a:rPr>
                      <a:t>R² = 0.996</a:t>
                    </a:r>
                    <a:endParaRPr lang="en-US">
                      <a:solidFill>
                        <a:schemeClr val="accent2">
                          <a:lumMod val="75000"/>
                        </a:schemeClr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'Ballast tool demo done'!$H$45:$H$47</c:f>
              <c:numCache>
                <c:formatCode>General</c:formatCode>
                <c:ptCount val="3"/>
                <c:pt idx="0">
                  <c:v>4</c:v>
                </c:pt>
                <c:pt idx="1">
                  <c:v>5</c:v>
                </c:pt>
                <c:pt idx="2">
                  <c:v>6</c:v>
                </c:pt>
              </c:numCache>
            </c:numRef>
          </c:xVal>
          <c:yVal>
            <c:numRef>
              <c:f>'Ballast tool demo done'!$J$45:$J$47</c:f>
              <c:numCache>
                <c:formatCode>General</c:formatCode>
                <c:ptCount val="3"/>
                <c:pt idx="0">
                  <c:v>140</c:v>
                </c:pt>
                <c:pt idx="1">
                  <c:v>115</c:v>
                </c:pt>
                <c:pt idx="2">
                  <c:v>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618-4423-9CEB-DBFB82578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2988927"/>
        <c:axId val="1810792799"/>
      </c:scatterChart>
      <c:valAx>
        <c:axId val="1912988927"/>
        <c:scaling>
          <c:orientation val="minMax"/>
          <c:max val="7"/>
          <c:min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0792799"/>
        <c:crosses val="autoZero"/>
        <c:crossBetween val="midCat"/>
      </c:valAx>
      <c:valAx>
        <c:axId val="1810792799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29889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Breakdown of machine costs</a:t>
            </a:r>
          </a:p>
        </c:rich>
      </c:tx>
      <c:layout>
        <c:manualLayout>
          <c:xMode val="edge"/>
          <c:yMode val="edge"/>
          <c:x val="0.23931690515075552"/>
          <c:y val="3.70371709967122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931690515075552"/>
          <c:y val="0.33333453897041004"/>
          <c:w val="0.35612634695052903"/>
          <c:h val="0.46296463745890287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CBB-4323-A865-8B779A9533C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4CBB-4323-A865-8B779A9533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4CBB-4323-A865-8B779A9533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4CBB-4323-A865-8B779A9533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4CBB-4323-A865-8B779A9533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CBB-4323-A865-8B779A9533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CBB-4323-A865-8B779A9533C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(planter!$A$40,planter!$A$41,planter!$A$51,planter!$A$52,planter!$A$53,planter!$A$54,planter!$A$58)</c:f>
              <c:strCache>
                <c:ptCount val="7"/>
                <c:pt idx="0">
                  <c:v>INVEST</c:v>
                </c:pt>
                <c:pt idx="1">
                  <c:v>LABOR</c:v>
                </c:pt>
                <c:pt idx="2">
                  <c:v>FUEL</c:v>
                </c:pt>
                <c:pt idx="3">
                  <c:v>TRACT</c:v>
                </c:pt>
                <c:pt idx="4">
                  <c:v>TI</c:v>
                </c:pt>
                <c:pt idx="5">
                  <c:v>RM</c:v>
                </c:pt>
                <c:pt idx="6">
                  <c:v>TIME</c:v>
                </c:pt>
              </c:strCache>
            </c:strRef>
          </c:cat>
          <c:val>
            <c:numRef>
              <c:f>(planter!$C$40,planter!$C$41,planter!$C$51,planter!$C$52,planter!$C$53,planter!$C$54,planter!$C$58)</c:f>
              <c:numCache>
                <c:formatCode>0.00</c:formatCode>
                <c:ptCount val="7"/>
                <c:pt idx="0">
                  <c:v>0</c:v>
                </c:pt>
                <c:pt idx="1">
                  <c:v>1523.0769230769231</c:v>
                </c:pt>
                <c:pt idx="2">
                  <c:v>2025.9414020473268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CBB-4323-A865-8B779A9533C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336411414962318"/>
          <c:y val="0.31481595347205393"/>
          <c:w val="0.15384658188262854"/>
          <c:h val="0.496298091355943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Dates of</a:t>
            </a:r>
            <a:r>
              <a:rPr lang="en-US" baseline="0"/>
              <a:t> Corn Planted vs Percent Crop Yield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60925549555622"/>
          <c:y val="0.10916894598701478"/>
          <c:w val="0.84847951730991178"/>
          <c:h val="0.78649978001304754"/>
        </c:manualLayout>
      </c:layout>
      <c:scatterChart>
        <c:scatterStyle val="lineMarker"/>
        <c:varyColors val="0"/>
        <c:ser>
          <c:idx val="4"/>
          <c:order val="4"/>
          <c:tx>
            <c:v>Total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trendline>
            <c:spPr>
              <a:ln w="25400" cap="rnd">
                <a:solidFill>
                  <a:schemeClr val="tx1">
                    <a:lumMod val="95000"/>
                    <a:lumOff val="5000"/>
                  </a:schemeClr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7951984388408235"/>
                  <c:y val="-6.587539715430308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yield% = -0.0053(date) + 230.45</a:t>
                    </a:r>
                    <a:br>
                      <a:rPr lang="en-US" baseline="0"/>
                    </a:br>
                    <a:r>
                      <a:rPr lang="en-US" baseline="0"/>
                      <a:t>R² = 0.5715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'planter data'!$D$3:$D$15</c:f>
              <c:numCache>
                <c:formatCode>d\-mmm</c:formatCode>
                <c:ptCount val="13"/>
                <c:pt idx="0">
                  <c:v>43557</c:v>
                </c:pt>
                <c:pt idx="1">
                  <c:v>43565</c:v>
                </c:pt>
                <c:pt idx="2">
                  <c:v>43565</c:v>
                </c:pt>
                <c:pt idx="3">
                  <c:v>43570</c:v>
                </c:pt>
                <c:pt idx="4">
                  <c:v>43585</c:v>
                </c:pt>
                <c:pt idx="5">
                  <c:v>43586</c:v>
                </c:pt>
                <c:pt idx="6">
                  <c:v>43595</c:v>
                </c:pt>
                <c:pt idx="7">
                  <c:v>43597</c:v>
                </c:pt>
                <c:pt idx="8">
                  <c:v>43615</c:v>
                </c:pt>
                <c:pt idx="9">
                  <c:v>43615</c:v>
                </c:pt>
                <c:pt idx="10">
                  <c:v>43625</c:v>
                </c:pt>
                <c:pt idx="11">
                  <c:v>43630</c:v>
                </c:pt>
                <c:pt idx="12">
                  <c:v>43637</c:v>
                </c:pt>
              </c:numCache>
            </c:numRef>
          </c:xVal>
          <c:yVal>
            <c:numRef>
              <c:f>'planter data'!$E$3:$E$15</c:f>
              <c:numCache>
                <c:formatCode>General</c:formatCode>
                <c:ptCount val="13"/>
                <c:pt idx="0">
                  <c:v>0.98</c:v>
                </c:pt>
                <c:pt idx="1">
                  <c:v>1</c:v>
                </c:pt>
                <c:pt idx="2">
                  <c:v>0.87</c:v>
                </c:pt>
                <c:pt idx="3">
                  <c:v>1</c:v>
                </c:pt>
                <c:pt idx="4">
                  <c:v>1</c:v>
                </c:pt>
                <c:pt idx="5">
                  <c:v>0.98</c:v>
                </c:pt>
                <c:pt idx="6">
                  <c:v>0.99</c:v>
                </c:pt>
                <c:pt idx="7">
                  <c:v>0.95</c:v>
                </c:pt>
                <c:pt idx="8">
                  <c:v>0.89</c:v>
                </c:pt>
                <c:pt idx="9">
                  <c:v>0.84</c:v>
                </c:pt>
                <c:pt idx="10">
                  <c:v>0.67</c:v>
                </c:pt>
                <c:pt idx="11">
                  <c:v>0.74</c:v>
                </c:pt>
                <c:pt idx="12">
                  <c:v>0.35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8E-4443-BA25-102C975ED29C}"/>
            </c:ext>
          </c:extLst>
        </c:ser>
        <c:ser>
          <c:idx val="5"/>
          <c:order val="5"/>
          <c:tx>
            <c:v>late planting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9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4595865918256004E-3"/>
                  <c:y val="8.378229037159828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 b="1" baseline="0"/>
                      <a:t>yld = -0.02Dlate + 869</a:t>
                    </a:r>
                    <a:br>
                      <a:rPr lang="en-US" sz="1400" b="1" baseline="0"/>
                    </a:br>
                    <a:r>
                      <a:rPr lang="en-US" sz="1400" b="1" baseline="0"/>
                      <a:t>R² = 0.80</a:t>
                    </a:r>
                    <a:endParaRPr lang="en-US" sz="1400" b="1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'planter data'!$C$18:$C$22</c:f>
              <c:numCache>
                <c:formatCode>d\-mmm</c:formatCode>
                <c:ptCount val="5"/>
                <c:pt idx="0">
                  <c:v>43615</c:v>
                </c:pt>
                <c:pt idx="1">
                  <c:v>43615</c:v>
                </c:pt>
                <c:pt idx="2">
                  <c:v>43625</c:v>
                </c:pt>
                <c:pt idx="3">
                  <c:v>43630</c:v>
                </c:pt>
                <c:pt idx="4">
                  <c:v>43637</c:v>
                </c:pt>
              </c:numCache>
            </c:numRef>
          </c:xVal>
          <c:yVal>
            <c:numRef>
              <c:f>'planter data'!$D$18:$D$22</c:f>
              <c:numCache>
                <c:formatCode>General</c:formatCode>
                <c:ptCount val="5"/>
                <c:pt idx="0">
                  <c:v>0.89</c:v>
                </c:pt>
                <c:pt idx="1">
                  <c:v>0.84</c:v>
                </c:pt>
                <c:pt idx="2">
                  <c:v>0.67</c:v>
                </c:pt>
                <c:pt idx="3">
                  <c:v>0.74</c:v>
                </c:pt>
                <c:pt idx="4">
                  <c:v>0.35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9F0-4107-83A0-0B01483BC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839152"/>
        <c:axId val="363840464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19050" cap="rnd">
                    <a:solidFill>
                      <a:sysClr val="windowText" lastClr="0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ysClr val="windowText" lastClr="0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'planter data'!$A$3:$A$6</c15:sqref>
                        </c15:formulaRef>
                      </c:ext>
                    </c:extLst>
                    <c:numCache>
                      <c:formatCode>d\-mmm</c:formatCode>
                      <c:ptCount val="4"/>
                      <c:pt idx="0">
                        <c:v>43570</c:v>
                      </c:pt>
                      <c:pt idx="1">
                        <c:v>43586</c:v>
                      </c:pt>
                      <c:pt idx="2">
                        <c:v>43615</c:v>
                      </c:pt>
                      <c:pt idx="3">
                        <c:v>43630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'planter data'!$B$3:$B$6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1</c:v>
                      </c:pt>
                      <c:pt idx="1">
                        <c:v>0.98</c:v>
                      </c:pt>
                      <c:pt idx="2">
                        <c:v>0.84</c:v>
                      </c:pt>
                      <c:pt idx="3">
                        <c:v>0.74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738E-4443-BA25-102C975ED29C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Blue Line</c:v>
                </c:tx>
                <c:spPr>
                  <a:ln w="19050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'planter data'!$D$3:$D$5</c15:sqref>
                        </c15:formulaRef>
                      </c:ext>
                    </c:extLst>
                    <c:numCache>
                      <c:formatCode>d\-mmm</c:formatCode>
                      <c:ptCount val="3"/>
                      <c:pt idx="0">
                        <c:v>43557</c:v>
                      </c:pt>
                      <c:pt idx="1">
                        <c:v>43565</c:v>
                      </c:pt>
                      <c:pt idx="2">
                        <c:v>43565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'planter data'!$E$3:$E$5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0.98</c:v>
                      </c:pt>
                      <c:pt idx="1">
                        <c:v>1</c:v>
                      </c:pt>
                      <c:pt idx="2">
                        <c:v>0.87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38E-4443-BA25-102C975ED29C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B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3"/>
                      </a:solidFill>
                      <a:prstDash val="sysDot"/>
                    </a:ln>
                    <a:effectLst/>
                  </c:spPr>
                  <c:trendlineType val="linear"/>
                  <c:dispRSqr val="1"/>
                  <c:dispEq val="1"/>
                  <c:trendlineLbl>
                    <c:layout>
                      <c:manualLayout>
                        <c:x val="-9.697837357107221E-2"/>
                        <c:y val="-9.5638073511091111E-3"/>
                      </c:manualLayout>
                    </c:layout>
                    <c:numFmt formatCode="General" sourceLinked="0"/>
                    <c:spPr>
                      <a:noFill/>
                      <a:ln>
                        <a:solidFill>
                          <a:srgbClr val="7030A0"/>
                        </a:solidFill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</c:trendlineLbl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'planter data'!$G$3:$G$5</c15:sqref>
                        </c15:formulaRef>
                      </c:ext>
                    </c:extLst>
                    <c:numCache>
                      <c:formatCode>d\-mmm</c:formatCode>
                      <c:ptCount val="3"/>
                      <c:pt idx="0">
                        <c:v>43557</c:v>
                      </c:pt>
                      <c:pt idx="1">
                        <c:v>43597</c:v>
                      </c:pt>
                      <c:pt idx="2">
                        <c:v>43637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'planter data'!$H$3:$H$5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0.98</c:v>
                      </c:pt>
                      <c:pt idx="1">
                        <c:v>0.95</c:v>
                      </c:pt>
                      <c:pt idx="2">
                        <c:v>0.35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38E-4443-BA25-102C975ED29C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Red</c:v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rgbClr val="FF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'planter data'!$J$3:$J$5</c15:sqref>
                        </c15:formulaRef>
                      </c:ext>
                    </c:extLst>
                    <c:numCache>
                      <c:formatCode>d\-mmm</c:formatCode>
                      <c:ptCount val="3"/>
                      <c:pt idx="0">
                        <c:v>43565</c:v>
                      </c:pt>
                      <c:pt idx="1">
                        <c:v>43585</c:v>
                      </c:pt>
                      <c:pt idx="2">
                        <c:v>43625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'planter data'!$K$3:$K$5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0.87</c:v>
                      </c:pt>
                      <c:pt idx="1">
                        <c:v>1</c:v>
                      </c:pt>
                      <c:pt idx="2">
                        <c:v>0.67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38E-4443-BA25-102C975ED29C}"/>
                  </c:ext>
                </c:extLst>
              </c15:ser>
            </c15:filteredScatterSeries>
          </c:ext>
        </c:extLst>
      </c:scatterChart>
      <c:valAx>
        <c:axId val="363839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Dates Corn Planted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840464"/>
        <c:crosses val="autoZero"/>
        <c:crossBetween val="midCat"/>
      </c:valAx>
      <c:valAx>
        <c:axId val="36384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Crop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839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55380577427822"/>
                  <c:y val="-7.9399970836978705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 b="1"/>
                      <a:t>Pne = 11800*Nrows - 13700</a:t>
                    </a:r>
                    <a:br>
                      <a:rPr lang="en-US" sz="1400" b="1"/>
                    </a:br>
                    <a:r>
                      <a:rPr lang="en-US" sz="1400" b="1"/>
                      <a:t>R² = 0.989</a:t>
                    </a:r>
                  </a:p>
                </c:rich>
              </c:tx>
              <c:numFmt formatCode="General" sourceLinked="0"/>
              <c:spPr>
                <a:solidFill>
                  <a:schemeClr val="bg1">
                    <a:lumMod val="85000"/>
                  </a:schemeClr>
                </a:solidFill>
                <a:ln w="19050"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'planter data'!$H$55:$H$61</c:f>
              <c:numCache>
                <c:formatCode>General</c:formatCode>
                <c:ptCount val="7"/>
                <c:pt idx="0">
                  <c:v>6</c:v>
                </c:pt>
                <c:pt idx="1">
                  <c:v>8</c:v>
                </c:pt>
                <c:pt idx="2">
                  <c:v>12</c:v>
                </c:pt>
                <c:pt idx="3">
                  <c:v>16</c:v>
                </c:pt>
                <c:pt idx="4">
                  <c:v>24</c:v>
                </c:pt>
                <c:pt idx="5">
                  <c:v>36</c:v>
                </c:pt>
                <c:pt idx="6">
                  <c:v>48</c:v>
                </c:pt>
              </c:numCache>
            </c:numRef>
          </c:xVal>
          <c:yVal>
            <c:numRef>
              <c:f>'planter data'!$I$55:$I$61</c:f>
              <c:numCache>
                <c:formatCode>"$"#,##0</c:formatCode>
                <c:ptCount val="7"/>
                <c:pt idx="0">
                  <c:v>44806</c:v>
                </c:pt>
                <c:pt idx="1">
                  <c:v>53197</c:v>
                </c:pt>
                <c:pt idx="2">
                  <c:v>153212</c:v>
                </c:pt>
                <c:pt idx="3">
                  <c:v>192173</c:v>
                </c:pt>
                <c:pt idx="4">
                  <c:v>283392</c:v>
                </c:pt>
                <c:pt idx="5">
                  <c:v>396807.85030448716</c:v>
                </c:pt>
                <c:pt idx="6">
                  <c:v>550875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F84-4BF3-963F-5B348E9AF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854928"/>
        <c:axId val="920955744"/>
      </c:scatterChart>
      <c:valAx>
        <c:axId val="1162854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Number of Rows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0955744"/>
        <c:crosses val="autoZero"/>
        <c:crossBetween val="midCat"/>
      </c:valAx>
      <c:valAx>
        <c:axId val="92095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Price of non-electric planter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854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Radio" firstButton="1" fmlaLink="$C$2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checked="Checked" lockText="1" noThreeD="1"/>
</file>

<file path=xl/ctrlProps/ctrlProp12.xml><?xml version="1.0" encoding="utf-8"?>
<formControlPr xmlns="http://schemas.microsoft.com/office/spreadsheetml/2009/9/main" objectType="GBox" noThreeD="1"/>
</file>

<file path=xl/ctrlProps/ctrlProp13.xml><?xml version="1.0" encoding="utf-8"?>
<formControlPr xmlns="http://schemas.microsoft.com/office/spreadsheetml/2009/9/main" objectType="Drop" dropStyle="combo" dx="16" fmlaLink="C4" fmlaRange="$A$65:$A$67" noThreeD="1" sel="1" val="0"/>
</file>

<file path=xl/ctrlProps/ctrlProp14.xml><?xml version="1.0" encoding="utf-8"?>
<formControlPr xmlns="http://schemas.microsoft.com/office/spreadsheetml/2009/9/main" objectType="Drop" dropStyle="combo" dx="16" fmlaLink="D4" fmlaRange="$A$65:$A$67" noThreeD="1" sel="1" val="0"/>
</file>

<file path=xl/ctrlProps/ctrlProp15.xml><?xml version="1.0" encoding="utf-8"?>
<formControlPr xmlns="http://schemas.microsoft.com/office/spreadsheetml/2009/9/main" objectType="Drop" dropStyle="combo" dx="15" fmlaLink="C3" fmlaRange="$F$1:$F$2" noThreeD="1" sel="2" val="0"/>
</file>

<file path=xl/ctrlProps/ctrlProp16.xml><?xml version="1.0" encoding="utf-8"?>
<formControlPr xmlns="http://schemas.microsoft.com/office/spreadsheetml/2009/9/main" objectType="Drop" dropStyle="combo" dx="15" fmlaLink="C4" fmlaRange="$F$3:$F$4" noThreeD="1" sel="2" val="0"/>
</file>

<file path=xl/ctrlProps/ctrlProp17.xml><?xml version="1.0" encoding="utf-8"?>
<formControlPr xmlns="http://schemas.microsoft.com/office/spreadsheetml/2009/9/main" objectType="List" dx="16" fmlaLink="C3" fmlaRange="$F$1:$F$2" noThreeD="1" sel="2" val="0"/>
</file>

<file path=xl/ctrlProps/ctrlProp18.xml><?xml version="1.0" encoding="utf-8"?>
<formControlPr xmlns="http://schemas.microsoft.com/office/spreadsheetml/2009/9/main" objectType="List" dx="16" fmlaLink="C4" fmlaRange="$F$3:$F$4" noThreeD="1" sel="2" val="0"/>
</file>

<file path=xl/ctrlProps/ctrlProp19.xml><?xml version="1.0" encoding="utf-8"?>
<formControlPr xmlns="http://schemas.microsoft.com/office/spreadsheetml/2009/9/main" objectType="List" dx="16" fmlaLink="C5" fmlaRange="$F$5:$F$6" noThreeD="1" sel="1" val="0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20.xml><?xml version="1.0" encoding="utf-8"?>
<formControlPr xmlns="http://schemas.microsoft.com/office/spreadsheetml/2009/9/main" objectType="List" dx="16" fmlaLink="C6" fmlaRange="$F$5:$F$6" noThreeD="1" sel="2" val="0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Radio" firstButton="1" fmlaLink="$C$1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lockText="1" noThreeD="1"/>
</file>

<file path=xl/ctrlProps/ctrlProp8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Radio" firstButton="1" fmlaLink="$C$13" lockText="1" noThreeD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https://bookstore.ksre.ksu.edu/pubs/MF588.pdf" TargetMode="External"/><Relationship Id="rId1" Type="http://schemas.openxmlformats.org/officeDocument/2006/relationships/hyperlink" Target="https://elibrary.asabe.org/data/pdf/6/ttp2003/Lecture27.pdf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hyperlink" Target="https://bookstore.ksre.ksu.edu/pubs/MF588.pdf" TargetMode="External"/><Relationship Id="rId1" Type="http://schemas.openxmlformats.org/officeDocument/2006/relationships/hyperlink" Target="https://elibrary.asabe.org/data/pdf/6/ttp2003/Lecture27.pdf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tmp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0</xdr:row>
      <xdr:rowOff>0</xdr:rowOff>
    </xdr:from>
    <xdr:to>
      <xdr:col>9</xdr:col>
      <xdr:colOff>571500</xdr:colOff>
      <xdr:row>4</xdr:row>
      <xdr:rowOff>152400</xdr:rowOff>
    </xdr:to>
    <xdr:sp macro="" textlink="">
      <xdr:nvSpPr>
        <xdr:cNvPr id="2" name="Text Box 2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943850" y="0"/>
          <a:ext cx="2486025" cy="800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Prepared by: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Dennis Buckmaster, P.E.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Associate Professor of Agricultural Engineering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drb3@psu.edu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933450</xdr:colOff>
          <xdr:row>11</xdr:row>
          <xdr:rowOff>76200</xdr:rowOff>
        </xdr:from>
        <xdr:to>
          <xdr:col>2</xdr:col>
          <xdr:colOff>419100</xdr:colOff>
          <xdr:row>17</xdr:row>
          <xdr:rowOff>85725</xdr:rowOff>
        </xdr:to>
        <xdr:grpSp>
          <xdr:nvGrpSpPr>
            <xdr:cNvPr id="3" name="Group 1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695450" y="1898374"/>
              <a:ext cx="1531454" cy="1003438"/>
              <a:chOff x="216" y="142"/>
              <a:chExt cx="153" cy="97"/>
            </a:xfrm>
          </xdr:grpSpPr>
          <xdr:sp macro="" textlink="">
            <xdr:nvSpPr>
              <xdr:cNvPr id="6145" name="Option Button 1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000-000001180000}"/>
                  </a:ext>
                </a:extLst>
              </xdr:cNvPr>
              <xdr:cNvSpPr/>
            </xdr:nvSpPr>
            <xdr:spPr bwMode="auto">
              <a:xfrm>
                <a:off x="239" y="153"/>
                <a:ext cx="99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Steady Load</a:t>
                </a:r>
              </a:p>
            </xdr:txBody>
          </xdr:sp>
          <xdr:sp macro="" textlink="">
            <xdr:nvSpPr>
              <xdr:cNvPr id="6146" name="Option Button 2" hidden="1">
                <a:extLst>
                  <a:ext uri="{63B3BB69-23CF-44E3-9099-C40C66FF867C}">
                    <a14:compatExt spid="_x0000_s6146"/>
                  </a:ext>
                  <a:ext uri="{FF2B5EF4-FFF2-40B4-BE49-F238E27FC236}">
                    <a16:creationId xmlns:a16="http://schemas.microsoft.com/office/drawing/2014/main" id="{00000000-0008-0000-0000-000002180000}"/>
                  </a:ext>
                </a:extLst>
              </xdr:cNvPr>
              <xdr:cNvSpPr/>
            </xdr:nvSpPr>
            <xdr:spPr bwMode="auto">
              <a:xfrm>
                <a:off x="239" y="183"/>
                <a:ext cx="99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Minor shocks</a:t>
                </a:r>
              </a:p>
            </xdr:txBody>
          </xdr:sp>
          <xdr:sp macro="" textlink="">
            <xdr:nvSpPr>
              <xdr:cNvPr id="6147" name="Option Button 3" hidden="1">
                <a:extLst>
                  <a:ext uri="{63B3BB69-23CF-44E3-9099-C40C66FF867C}">
                    <a14:compatExt spid="_x0000_s6147"/>
                  </a:ext>
                  <a:ext uri="{FF2B5EF4-FFF2-40B4-BE49-F238E27FC236}">
                    <a16:creationId xmlns:a16="http://schemas.microsoft.com/office/drawing/2014/main" id="{00000000-0008-0000-0000-000003180000}"/>
                  </a:ext>
                </a:extLst>
              </xdr:cNvPr>
              <xdr:cNvSpPr/>
            </xdr:nvSpPr>
            <xdr:spPr bwMode="auto">
              <a:xfrm>
                <a:off x="239" y="213"/>
                <a:ext cx="99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Heavy shocks</a:t>
                </a:r>
              </a:p>
            </xdr:txBody>
          </xdr:sp>
          <xdr:sp macro="" textlink="">
            <xdr:nvSpPr>
              <xdr:cNvPr id="6148" name="Group Box 4" hidden="1">
                <a:extLst>
                  <a:ext uri="{63B3BB69-23CF-44E3-9099-C40C66FF867C}">
                    <a14:compatExt spid="_x0000_s6148"/>
                  </a:ext>
                  <a:ext uri="{FF2B5EF4-FFF2-40B4-BE49-F238E27FC236}">
                    <a16:creationId xmlns:a16="http://schemas.microsoft.com/office/drawing/2014/main" id="{00000000-0008-0000-0000-000004180000}"/>
                  </a:ext>
                </a:extLst>
              </xdr:cNvPr>
              <xdr:cNvSpPr/>
            </xdr:nvSpPr>
            <xdr:spPr bwMode="auto">
              <a:xfrm>
                <a:off x="216" y="142"/>
                <a:ext cx="153" cy="97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Choose a shock level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4</xdr:col>
      <xdr:colOff>1847850</xdr:colOff>
      <xdr:row>26</xdr:row>
      <xdr:rowOff>0</xdr:rowOff>
    </xdr:from>
    <xdr:to>
      <xdr:col>9</xdr:col>
      <xdr:colOff>590550</xdr:colOff>
      <xdr:row>54</xdr:row>
      <xdr:rowOff>114300</xdr:rowOff>
    </xdr:to>
    <xdr:sp macro="" textlink="">
      <xdr:nvSpPr>
        <xdr:cNvPr id="8" name="Text Box 2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6181725" y="4229100"/>
          <a:ext cx="4267200" cy="4648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Time-tested recommendations for</a:t>
          </a:r>
        </a:p>
        <a:p>
          <a:pPr algn="l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        good problem solving technique: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1. Place the framework of the problem first by completing columns a, b, and d for inputs and outputs.  Leave plenty of blank lines above outputs which can be deleted later (or more added if necessary).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2. Identify the intermediate values required for the solution and complete columns a, b, and d for these.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3. Enter values for inputs in column c.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4. Enter formulas for intermediates &amp; outputs in column c.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5. Re-sequence (if necessary) intermediates and outputs so the sheet reads top-down with calculations in order from top to bottom.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6. Copy formulas from column c to column e, then search and replace " = " with " '= " so the formula shows in column e when printed.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7. Add comments or text boxes as necessary to further document the work.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8. Use fonts, colors, and print preview (changing relevant settings) to maximize use of the paper and improve readability.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9. Consider inserting another column between c and d with contents exactly like column c.  Now you have a side by side  evaluator useful for comparing two situations.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249313</xdr:colOff>
      <xdr:row>38</xdr:row>
      <xdr:rowOff>63927</xdr:rowOff>
    </xdr:from>
    <xdr:to>
      <xdr:col>14</xdr:col>
      <xdr:colOff>5388</xdr:colOff>
      <xdr:row>40</xdr:row>
      <xdr:rowOff>173856</xdr:rowOff>
    </xdr:to>
    <xdr:sp macro="" textlink="">
      <xdr:nvSpPr>
        <xdr:cNvPr id="5" name="Text Box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9205370" y="4494011"/>
          <a:ext cx="2185270" cy="49348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Traction and Tractor Performance. 2003. Zoz &amp; Grisso. ASABE Distinguished Lecture.</a:t>
          </a:r>
          <a:endParaRPr lang="en-US" sz="10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262098</xdr:colOff>
      <xdr:row>35</xdr:row>
      <xdr:rowOff>0</xdr:rowOff>
    </xdr:from>
    <xdr:to>
      <xdr:col>14</xdr:col>
      <xdr:colOff>4823</xdr:colOff>
      <xdr:row>37</xdr:row>
      <xdr:rowOff>116631</xdr:rowOff>
    </xdr:to>
    <xdr:sp macro="" textlink="">
      <xdr:nvSpPr>
        <xdr:cNvPr id="6" name="Text Box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9218155" y="3848356"/>
          <a:ext cx="2171920" cy="50658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Getting the Most from Your Tractor.  1991.Taylor, Schrock, &amp; Wertz.. </a:t>
          </a:r>
          <a:r>
            <a:rPr lang="en-US" sz="1000" b="0" i="0">
              <a:latin typeface="Arial" pitchFamily="34" charset="0"/>
              <a:ea typeface="+mn-ea"/>
              <a:cs typeface="Arial" pitchFamily="34" charset="0"/>
            </a:rPr>
            <a:t>K-State U Publication MF-588.</a:t>
          </a:r>
          <a:endParaRPr lang="en-US" sz="10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562550</xdr:colOff>
      <xdr:row>35</xdr:row>
      <xdr:rowOff>12785</xdr:rowOff>
    </xdr:from>
    <xdr:to>
      <xdr:col>9</xdr:col>
      <xdr:colOff>594513</xdr:colOff>
      <xdr:row>36</xdr:row>
      <xdr:rowOff>173567</xdr:rowOff>
    </xdr:to>
    <xdr:sp macro="" textlink="">
      <xdr:nvSpPr>
        <xdr:cNvPr id="8" name="Text Box 15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7089412" y="3861141"/>
          <a:ext cx="1853859" cy="35256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D. Buckmaster</a:t>
          </a:r>
          <a:r>
            <a:rPr lang="en-US" sz="1000" b="0" i="0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US" sz="100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@ Purdue ABE  References (click</a:t>
          </a:r>
          <a:r>
            <a:rPr lang="en-US" sz="1000" b="0" i="0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to get them)</a:t>
          </a:r>
          <a:r>
            <a:rPr lang="en-US" sz="100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238125</xdr:colOff>
          <xdr:row>35</xdr:row>
          <xdr:rowOff>0</xdr:rowOff>
        </xdr:from>
        <xdr:to>
          <xdr:col>15</xdr:col>
          <xdr:colOff>361950</xdr:colOff>
          <xdr:row>37</xdr:row>
          <xdr:rowOff>180975</xdr:rowOff>
        </xdr:to>
        <xdr:sp macro="" textlink="">
          <xdr:nvSpPr>
            <xdr:cNvPr id="19466" name="Object 10" hidden="1">
              <a:extLst>
                <a:ext uri="{63B3BB69-23CF-44E3-9099-C40C66FF867C}">
                  <a14:compatExt spid="_x0000_s19466"/>
                </a:ext>
                <a:ext uri="{FF2B5EF4-FFF2-40B4-BE49-F238E27FC236}">
                  <a16:creationId xmlns:a16="http://schemas.microsoft.com/office/drawing/2014/main" id="{00000000-0008-0000-0100-00000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238125</xdr:colOff>
          <xdr:row>38</xdr:row>
          <xdr:rowOff>57150</xdr:rowOff>
        </xdr:from>
        <xdr:to>
          <xdr:col>15</xdr:col>
          <xdr:colOff>495300</xdr:colOff>
          <xdr:row>41</xdr:row>
          <xdr:rowOff>0</xdr:rowOff>
        </xdr:to>
        <xdr:sp macro="" textlink="">
          <xdr:nvSpPr>
            <xdr:cNvPr id="19467" name="Object 11" hidden="1">
              <a:extLst>
                <a:ext uri="{63B3BB69-23CF-44E3-9099-C40C66FF867C}">
                  <a14:compatExt spid="_x0000_s19467"/>
                </a:ext>
                <a:ext uri="{FF2B5EF4-FFF2-40B4-BE49-F238E27FC236}">
                  <a16:creationId xmlns:a16="http://schemas.microsoft.com/office/drawing/2014/main" id="{00000000-0008-0000-0100-00000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5</xdr:col>
      <xdr:colOff>159814</xdr:colOff>
      <xdr:row>0</xdr:row>
      <xdr:rowOff>0</xdr:rowOff>
    </xdr:from>
    <xdr:to>
      <xdr:col>10</xdr:col>
      <xdr:colOff>68565</xdr:colOff>
      <xdr:row>7</xdr:row>
      <xdr:rowOff>171252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6079378" y="0"/>
          <a:ext cx="2945244" cy="1520094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In this</a:t>
          </a:r>
          <a:r>
            <a:rPr lang="en-US" sz="1100" baseline="0"/>
            <a:t> exercise ... </a:t>
          </a:r>
        </a:p>
        <a:p>
          <a:endParaRPr lang="en-US" sz="1100" baseline="0"/>
        </a:p>
        <a:p>
          <a:r>
            <a:rPr lang="en-US" sz="1100" baseline="0"/>
            <a:t>logical spreadsheeting, top-down, left-to-right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trendline equation</a:t>
          </a:r>
          <a:endParaRPr lang="en-US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intrinsic functions (vlookup, min, if, mround)</a:t>
          </a:r>
          <a:endParaRPr lang="en-US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data validation</a:t>
          </a:r>
          <a:endParaRPr lang="en-US">
            <a:effectLst/>
          </a:endParaRPr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forms</a:t>
          </a:r>
          <a:endParaRPr lang="en-US">
            <a:effectLst/>
          </a:endParaRPr>
        </a:p>
        <a:p>
          <a:r>
            <a:rPr lang="en-US" sz="1100" baseline="0"/>
            <a:t>protection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191777</xdr:colOff>
      <xdr:row>0</xdr:row>
      <xdr:rowOff>0</xdr:rowOff>
    </xdr:from>
    <xdr:to>
      <xdr:col>10</xdr:col>
      <xdr:colOff>91613</xdr:colOff>
      <xdr:row>7</xdr:row>
      <xdr:rowOff>191778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549680" y="0"/>
          <a:ext cx="2936329" cy="154062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In this</a:t>
          </a:r>
          <a:r>
            <a:rPr lang="en-US" sz="1100" baseline="0"/>
            <a:t> exercise ... </a:t>
          </a:r>
        </a:p>
        <a:p>
          <a:endParaRPr lang="en-US" sz="1100" baseline="0"/>
        </a:p>
        <a:p>
          <a:r>
            <a:rPr lang="en-US" sz="1100" baseline="0"/>
            <a:t>logical spreadsheeting, top-down, left-to-right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trendline equation</a:t>
          </a:r>
          <a:endParaRPr lang="en-US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intrinsic functions (vlookup, min, if, mround)</a:t>
          </a:r>
          <a:endParaRPr lang="en-US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data validation</a:t>
          </a:r>
          <a:endParaRPr lang="en-US">
            <a:effectLst/>
          </a:endParaRPr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forms</a:t>
          </a:r>
          <a:endParaRPr lang="en-US">
            <a:effectLst/>
          </a:endParaRPr>
        </a:p>
        <a:p>
          <a:r>
            <a:rPr lang="en-US" sz="1100" baseline="0"/>
            <a:t>protection</a:t>
          </a:r>
        </a:p>
      </xdr:txBody>
    </xdr:sp>
    <xdr:clientData/>
  </xdr:twoCellAnchor>
  <xdr:twoCellAnchor>
    <xdr:from>
      <xdr:col>10</xdr:col>
      <xdr:colOff>249313</xdr:colOff>
      <xdr:row>33</xdr:row>
      <xdr:rowOff>63927</xdr:rowOff>
    </xdr:from>
    <xdr:to>
      <xdr:col>14</xdr:col>
      <xdr:colOff>5388</xdr:colOff>
      <xdr:row>35</xdr:row>
      <xdr:rowOff>173856</xdr:rowOff>
    </xdr:to>
    <xdr:sp macro="" textlink="">
      <xdr:nvSpPr>
        <xdr:cNvPr id="3" name="Text Box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9221863" y="4474002"/>
          <a:ext cx="2194475" cy="49092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Traction and Tractor Performance. 2003. Zoz &amp; Grisso. ASABE Distinguished Lecture.</a:t>
          </a:r>
          <a:endParaRPr lang="en-US" sz="10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262098</xdr:colOff>
      <xdr:row>30</xdr:row>
      <xdr:rowOff>0</xdr:rowOff>
    </xdr:from>
    <xdr:to>
      <xdr:col>14</xdr:col>
      <xdr:colOff>4823</xdr:colOff>
      <xdr:row>32</xdr:row>
      <xdr:rowOff>116631</xdr:rowOff>
    </xdr:to>
    <xdr:sp macro="" textlink="">
      <xdr:nvSpPr>
        <xdr:cNvPr id="4" name="Text Box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9234648" y="3829050"/>
          <a:ext cx="2181125" cy="50715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Getting the Most from Your Tractor.  1991.Taylor, Schrock, &amp; Wertz.. </a:t>
          </a:r>
          <a:r>
            <a:rPr lang="en-US" sz="1000" b="0" i="0">
              <a:latin typeface="Arial" pitchFamily="34" charset="0"/>
              <a:ea typeface="+mn-ea"/>
              <a:cs typeface="Arial" pitchFamily="34" charset="0"/>
            </a:rPr>
            <a:t>K-State U Publication MF-588.</a:t>
          </a:r>
          <a:endParaRPr lang="en-US" sz="10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562550</xdr:colOff>
      <xdr:row>30</xdr:row>
      <xdr:rowOff>12785</xdr:rowOff>
    </xdr:from>
    <xdr:to>
      <xdr:col>9</xdr:col>
      <xdr:colOff>594513</xdr:colOff>
      <xdr:row>31</xdr:row>
      <xdr:rowOff>173567</xdr:rowOff>
    </xdr:to>
    <xdr:sp macro="" textlink="">
      <xdr:nvSpPr>
        <xdr:cNvPr id="5" name="Text Box 1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7096700" y="3841835"/>
          <a:ext cx="1860763" cy="35128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D. Buckmaster</a:t>
          </a:r>
          <a:r>
            <a:rPr lang="en-US" sz="1000" b="0" i="0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US" sz="100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@ Purdue ABE  References (click</a:t>
          </a:r>
          <a:r>
            <a:rPr lang="en-US" sz="1000" b="0" i="0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to get them)</a:t>
          </a:r>
          <a:r>
            <a:rPr lang="en-US" sz="100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238125</xdr:colOff>
          <xdr:row>30</xdr:row>
          <xdr:rowOff>0</xdr:rowOff>
        </xdr:from>
        <xdr:to>
          <xdr:col>15</xdr:col>
          <xdr:colOff>361950</xdr:colOff>
          <xdr:row>32</xdr:row>
          <xdr:rowOff>180975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2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238125</xdr:colOff>
          <xdr:row>33</xdr:row>
          <xdr:rowOff>57150</xdr:rowOff>
        </xdr:from>
        <xdr:to>
          <xdr:col>15</xdr:col>
          <xdr:colOff>495300</xdr:colOff>
          <xdr:row>36</xdr:row>
          <xdr:rowOff>0</xdr:rowOff>
        </xdr:to>
        <xdr:sp macro="" textlink="">
          <xdr:nvSpPr>
            <xdr:cNvPr id="23554" name="Object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2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7</xdr:col>
      <xdr:colOff>283832</xdr:colOff>
      <xdr:row>47</xdr:row>
      <xdr:rowOff>92309</xdr:rowOff>
    </xdr:from>
    <xdr:to>
      <xdr:col>14</xdr:col>
      <xdr:colOff>604741</xdr:colOff>
      <xdr:row>61</xdr:row>
      <xdr:rowOff>150610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502556</xdr:colOff>
          <xdr:row>5</xdr:row>
          <xdr:rowOff>174496</xdr:rowOff>
        </xdr:from>
        <xdr:to>
          <xdr:col>2</xdr:col>
          <xdr:colOff>447091</xdr:colOff>
          <xdr:row>11</xdr:row>
          <xdr:rowOff>3046</xdr:rowOff>
        </xdr:to>
        <xdr:grpSp>
          <xdr:nvGrpSpPr>
            <xdr:cNvPr id="7" name="Group 6">
              <a:extLst>
                <a:ext uri="{FF2B5EF4-FFF2-40B4-BE49-F238E27FC236}">
                  <a16:creationId xmlns:a16="http://schemas.microsoft.com/office/drawing/2014/main" id="{00000000-0008-0000-0200-000007000000}"/>
                </a:ext>
              </a:extLst>
            </xdr:cNvPr>
            <xdr:cNvGrpSpPr/>
          </xdr:nvGrpSpPr>
          <xdr:grpSpPr>
            <a:xfrm>
              <a:off x="1114877" y="1133181"/>
              <a:ext cx="1923756" cy="985157"/>
              <a:chOff x="457200" y="1120516"/>
              <a:chExt cx="1927290" cy="968958"/>
            </a:xfrm>
          </xdr:grpSpPr>
          <xdr:sp macro="" textlink="">
            <xdr:nvSpPr>
              <xdr:cNvPr id="23564" name="Option Button 12" hidden="1">
                <a:extLst>
                  <a:ext uri="{63B3BB69-23CF-44E3-9099-C40C66FF867C}">
                    <a14:compatExt spid="_x0000_s23564"/>
                  </a:ext>
                  <a:ext uri="{FF2B5EF4-FFF2-40B4-BE49-F238E27FC236}">
                    <a16:creationId xmlns:a16="http://schemas.microsoft.com/office/drawing/2014/main" id="{00000000-0008-0000-0200-00000C5C0000}"/>
                  </a:ext>
                </a:extLst>
              </xdr:cNvPr>
              <xdr:cNvSpPr/>
            </xdr:nvSpPr>
            <xdr:spPr bwMode="auto">
              <a:xfrm>
                <a:off x="568051" y="1217119"/>
                <a:ext cx="1489014" cy="25458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FWA (front wheel assist)</a:t>
                </a:r>
              </a:p>
            </xdr:txBody>
          </xdr:sp>
          <xdr:sp macro="" textlink="">
            <xdr:nvSpPr>
              <xdr:cNvPr id="23565" name="Option Button 13" hidden="1">
                <a:extLst>
                  <a:ext uri="{63B3BB69-23CF-44E3-9099-C40C66FF867C}">
                    <a14:compatExt spid="_x0000_s23565"/>
                  </a:ext>
                  <a:ext uri="{FF2B5EF4-FFF2-40B4-BE49-F238E27FC236}">
                    <a16:creationId xmlns:a16="http://schemas.microsoft.com/office/drawing/2014/main" id="{00000000-0008-0000-0200-00000D5C0000}"/>
                  </a:ext>
                </a:extLst>
              </xdr:cNvPr>
              <xdr:cNvSpPr/>
            </xdr:nvSpPr>
            <xdr:spPr bwMode="auto">
              <a:xfrm>
                <a:off x="568051" y="1468954"/>
                <a:ext cx="1482620" cy="25071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4WD (4 wheel drive)</a:t>
                </a:r>
              </a:p>
            </xdr:txBody>
          </xdr:sp>
          <xdr:sp macro="" textlink="">
            <xdr:nvSpPr>
              <xdr:cNvPr id="23566" name="Option Button 14" hidden="1">
                <a:extLst>
                  <a:ext uri="{63B3BB69-23CF-44E3-9099-C40C66FF867C}">
                    <a14:compatExt spid="_x0000_s23566"/>
                  </a:ext>
                  <a:ext uri="{FF2B5EF4-FFF2-40B4-BE49-F238E27FC236}">
                    <a16:creationId xmlns:a16="http://schemas.microsoft.com/office/drawing/2014/main" id="{00000000-0008-0000-0200-00000E5C0000}"/>
                  </a:ext>
                </a:extLst>
              </xdr:cNvPr>
              <xdr:cNvSpPr/>
            </xdr:nvSpPr>
            <xdr:spPr bwMode="auto">
              <a:xfrm>
                <a:off x="561658" y="1747859"/>
                <a:ext cx="1524304" cy="2558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2WD (2 wheel drive)</a:t>
                </a:r>
              </a:p>
            </xdr:txBody>
          </xdr:sp>
          <xdr:sp macro="" textlink="">
            <xdr:nvSpPr>
              <xdr:cNvPr id="23567" name="Group Box 15" hidden="1">
                <a:extLst>
                  <a:ext uri="{63B3BB69-23CF-44E3-9099-C40C66FF867C}">
                    <a14:compatExt spid="_x0000_s23567"/>
                  </a:ext>
                  <a:ext uri="{FF2B5EF4-FFF2-40B4-BE49-F238E27FC236}">
                    <a16:creationId xmlns:a16="http://schemas.microsoft.com/office/drawing/2014/main" id="{00000000-0008-0000-0200-00000F5C0000}"/>
                  </a:ext>
                </a:extLst>
              </xdr:cNvPr>
              <xdr:cNvSpPr/>
            </xdr:nvSpPr>
            <xdr:spPr bwMode="auto">
              <a:xfrm>
                <a:off x="457200" y="1120516"/>
                <a:ext cx="1927290" cy="96895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Select the tractor type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227110</xdr:colOff>
          <xdr:row>5</xdr:row>
          <xdr:rowOff>177994</xdr:rowOff>
        </xdr:from>
        <xdr:to>
          <xdr:col>4</xdr:col>
          <xdr:colOff>1652296</xdr:colOff>
          <xdr:row>11</xdr:row>
          <xdr:rowOff>5702</xdr:rowOff>
        </xdr:to>
        <xdr:grpSp>
          <xdr:nvGrpSpPr>
            <xdr:cNvPr id="8" name="Group 7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GrpSpPr/>
          </xdr:nvGrpSpPr>
          <xdr:grpSpPr>
            <a:xfrm>
              <a:off x="3511379" y="1136679"/>
              <a:ext cx="2037508" cy="984315"/>
              <a:chOff x="4037110" y="1149933"/>
              <a:chExt cx="2034268" cy="968116"/>
            </a:xfrm>
          </xdr:grpSpPr>
          <xdr:sp macro="" textlink="">
            <xdr:nvSpPr>
              <xdr:cNvPr id="23568" name="Option Button 16" hidden="1">
                <a:extLst>
                  <a:ext uri="{63B3BB69-23CF-44E3-9099-C40C66FF867C}">
                    <a14:compatExt spid="_x0000_s23568"/>
                  </a:ext>
                  <a:ext uri="{FF2B5EF4-FFF2-40B4-BE49-F238E27FC236}">
                    <a16:creationId xmlns:a16="http://schemas.microsoft.com/office/drawing/2014/main" id="{00000000-0008-0000-0200-0000105C0000}"/>
                  </a:ext>
                </a:extLst>
              </xdr:cNvPr>
              <xdr:cNvSpPr/>
            </xdr:nvSpPr>
            <xdr:spPr bwMode="auto">
              <a:xfrm>
                <a:off x="4237390" y="1238919"/>
                <a:ext cx="1323975" cy="21648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Semi-mounted implement</a:t>
                </a:r>
              </a:p>
            </xdr:txBody>
          </xdr:sp>
          <xdr:sp macro="" textlink="">
            <xdr:nvSpPr>
              <xdr:cNvPr id="23569" name="Option Button 17" hidden="1">
                <a:extLst>
                  <a:ext uri="{63B3BB69-23CF-44E3-9099-C40C66FF867C}">
                    <a14:compatExt spid="_x0000_s23569"/>
                  </a:ext>
                  <a:ext uri="{FF2B5EF4-FFF2-40B4-BE49-F238E27FC236}">
                    <a16:creationId xmlns:a16="http://schemas.microsoft.com/office/drawing/2014/main" id="{00000000-0008-0000-0200-0000115C0000}"/>
                  </a:ext>
                </a:extLst>
              </xdr:cNvPr>
              <xdr:cNvSpPr/>
            </xdr:nvSpPr>
            <xdr:spPr bwMode="auto">
              <a:xfrm>
                <a:off x="4237390" y="1478223"/>
                <a:ext cx="1323975" cy="21648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Fully mounted implement</a:t>
                </a:r>
              </a:p>
            </xdr:txBody>
          </xdr:sp>
          <xdr:sp macro="" textlink="">
            <xdr:nvSpPr>
              <xdr:cNvPr id="23570" name="Option Button 18" hidden="1">
                <a:extLst>
                  <a:ext uri="{63B3BB69-23CF-44E3-9099-C40C66FF867C}">
                    <a14:compatExt spid="_x0000_s23570"/>
                  </a:ext>
                  <a:ext uri="{FF2B5EF4-FFF2-40B4-BE49-F238E27FC236}">
                    <a16:creationId xmlns:a16="http://schemas.microsoft.com/office/drawing/2014/main" id="{00000000-0008-0000-0200-0000125C0000}"/>
                  </a:ext>
                </a:extLst>
              </xdr:cNvPr>
              <xdr:cNvSpPr/>
            </xdr:nvSpPr>
            <xdr:spPr bwMode="auto">
              <a:xfrm>
                <a:off x="4237390" y="1713660"/>
                <a:ext cx="1323975" cy="2164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Towed implement</a:t>
                </a:r>
              </a:p>
            </xdr:txBody>
          </xdr:sp>
          <xdr:sp macro="" textlink="">
            <xdr:nvSpPr>
              <xdr:cNvPr id="23571" name="Group Box 19" hidden="1">
                <a:extLst>
                  <a:ext uri="{63B3BB69-23CF-44E3-9099-C40C66FF867C}">
                    <a14:compatExt spid="_x0000_s23571"/>
                  </a:ext>
                  <a:ext uri="{FF2B5EF4-FFF2-40B4-BE49-F238E27FC236}">
                    <a16:creationId xmlns:a16="http://schemas.microsoft.com/office/drawing/2014/main" id="{00000000-0008-0000-0200-0000135C0000}"/>
                  </a:ext>
                </a:extLst>
              </xdr:cNvPr>
              <xdr:cNvSpPr/>
            </xdr:nvSpPr>
            <xdr:spPr bwMode="auto">
              <a:xfrm>
                <a:off x="4037110" y="1149933"/>
                <a:ext cx="2034268" cy="96811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32004" rIns="0" bIns="0" anchor="t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Select the implement type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18</xdr:row>
      <xdr:rowOff>123825</xdr:rowOff>
    </xdr:from>
    <xdr:to>
      <xdr:col>10</xdr:col>
      <xdr:colOff>323850</xdr:colOff>
      <xdr:row>34</xdr:row>
      <xdr:rowOff>104775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295275</xdr:colOff>
          <xdr:row>0</xdr:row>
          <xdr:rowOff>104775</xdr:rowOff>
        </xdr:from>
        <xdr:to>
          <xdr:col>18</xdr:col>
          <xdr:colOff>552450</xdr:colOff>
          <xdr:row>36</xdr:row>
          <xdr:rowOff>114300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3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37</xdr:row>
          <xdr:rowOff>57150</xdr:rowOff>
        </xdr:from>
        <xdr:to>
          <xdr:col>18</xdr:col>
          <xdr:colOff>514350</xdr:colOff>
          <xdr:row>73</xdr:row>
          <xdr:rowOff>47625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3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9525</xdr:rowOff>
        </xdr:from>
        <xdr:to>
          <xdr:col>3</xdr:col>
          <xdr:colOff>0</xdr:colOff>
          <xdr:row>4</xdr:row>
          <xdr:rowOff>57150</xdr:rowOff>
        </xdr:to>
        <xdr:sp macro="" textlink="">
          <xdr:nvSpPr>
            <xdr:cNvPr id="10241" name="Drop Dow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4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9525</xdr:rowOff>
        </xdr:from>
        <xdr:to>
          <xdr:col>4</xdr:col>
          <xdr:colOff>0</xdr:colOff>
          <xdr:row>4</xdr:row>
          <xdr:rowOff>57150</xdr:rowOff>
        </xdr:to>
        <xdr:sp macro="" textlink="">
          <xdr:nvSpPr>
            <xdr:cNvPr id="10242" name="Drop Dow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4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0</xdr:row>
          <xdr:rowOff>95250</xdr:rowOff>
        </xdr:from>
        <xdr:to>
          <xdr:col>13</xdr:col>
          <xdr:colOff>400050</xdr:colOff>
          <xdr:row>25</xdr:row>
          <xdr:rowOff>142875</xdr:rowOff>
        </xdr:to>
        <xdr:sp macro="" textlink="">
          <xdr:nvSpPr>
            <xdr:cNvPr id="10248" name="Object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4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6</xdr:row>
      <xdr:rowOff>152400</xdr:rowOff>
    </xdr:from>
    <xdr:to>
      <xdr:col>16</xdr:col>
      <xdr:colOff>314326</xdr:colOff>
      <xdr:row>29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514350</xdr:colOff>
      <xdr:row>43</xdr:row>
      <xdr:rowOff>71437</xdr:rowOff>
    </xdr:from>
    <xdr:to>
      <xdr:col>17</xdr:col>
      <xdr:colOff>209550</xdr:colOff>
      <xdr:row>58</xdr:row>
      <xdr:rowOff>71437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</xdr:row>
          <xdr:rowOff>19050</xdr:rowOff>
        </xdr:from>
        <xdr:to>
          <xdr:col>4</xdr:col>
          <xdr:colOff>19050</xdr:colOff>
          <xdr:row>2</xdr:row>
          <xdr:rowOff>371475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</xdr:row>
          <xdr:rowOff>38100</xdr:rowOff>
        </xdr:from>
        <xdr:to>
          <xdr:col>4</xdr:col>
          <xdr:colOff>9525</xdr:colOff>
          <xdr:row>3</xdr:row>
          <xdr:rowOff>381000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3467100</xdr:colOff>
          <xdr:row>1</xdr:row>
          <xdr:rowOff>142875</xdr:rowOff>
        </xdr:from>
        <xdr:to>
          <xdr:col>3</xdr:col>
          <xdr:colOff>866775</xdr:colOff>
          <xdr:row>2</xdr:row>
          <xdr:rowOff>371475</xdr:rowOff>
        </xdr:to>
        <xdr:sp macro="" textlink="">
          <xdr:nvSpPr>
            <xdr:cNvPr id="2052" name="List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3467100</xdr:colOff>
          <xdr:row>3</xdr:row>
          <xdr:rowOff>0</xdr:rowOff>
        </xdr:from>
        <xdr:to>
          <xdr:col>3</xdr:col>
          <xdr:colOff>876300</xdr:colOff>
          <xdr:row>3</xdr:row>
          <xdr:rowOff>390525</xdr:rowOff>
        </xdr:to>
        <xdr:sp macro="" textlink="">
          <xdr:nvSpPr>
            <xdr:cNvPr id="2053" name="List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3467100</xdr:colOff>
          <xdr:row>4</xdr:row>
          <xdr:rowOff>9525</xdr:rowOff>
        </xdr:from>
        <xdr:to>
          <xdr:col>3</xdr:col>
          <xdr:colOff>876300</xdr:colOff>
          <xdr:row>5</xdr:row>
          <xdr:rowOff>9525</xdr:rowOff>
        </xdr:to>
        <xdr:sp macro="" textlink="">
          <xdr:nvSpPr>
            <xdr:cNvPr id="2054" name="List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19050</xdr:rowOff>
        </xdr:from>
        <xdr:to>
          <xdr:col>4</xdr:col>
          <xdr:colOff>9525</xdr:colOff>
          <xdr:row>5</xdr:row>
          <xdr:rowOff>390525</xdr:rowOff>
        </xdr:to>
        <xdr:sp macro="" textlink="">
          <xdr:nvSpPr>
            <xdr:cNvPr id="2055" name="List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10</xdr:row>
          <xdr:rowOff>57150</xdr:rowOff>
        </xdr:from>
        <xdr:to>
          <xdr:col>8</xdr:col>
          <xdr:colOff>981075</xdr:colOff>
          <xdr:row>29</xdr:row>
          <xdr:rowOff>38100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1</xdr:row>
      <xdr:rowOff>38101</xdr:rowOff>
    </xdr:from>
    <xdr:to>
      <xdr:col>9</xdr:col>
      <xdr:colOff>133350</xdr:colOff>
      <xdr:row>7</xdr:row>
      <xdr:rowOff>152401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7400925" y="295276"/>
          <a:ext cx="2552700" cy="1104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D. Buckmaster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Penn State University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Agricultural &amp; Biological Engineering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11/03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Modified 9/15 with names rather than labels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Purdue Ag &amp; Biological Engineering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409575</xdr:colOff>
          <xdr:row>5</xdr:row>
          <xdr:rowOff>152400</xdr:rowOff>
        </xdr:from>
        <xdr:to>
          <xdr:col>19</xdr:col>
          <xdr:colOff>590550</xdr:colOff>
          <xdr:row>38</xdr:row>
          <xdr:rowOff>38100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7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157986</xdr:colOff>
      <xdr:row>8</xdr:row>
      <xdr:rowOff>85947</xdr:rowOff>
    </xdr:from>
    <xdr:to>
      <xdr:col>12</xdr:col>
      <xdr:colOff>314325</xdr:colOff>
      <xdr:row>31</xdr:row>
      <xdr:rowOff>210457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9861" y="1533747"/>
          <a:ext cx="4423539" cy="43345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nis\Downloads\ballast%20assistant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urses\ASM%20231\box%20calculations%20for%20dem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urses\ASM%20231\goal%20seek%20and%20solver%20demo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ATS%20Excel\Excel%20Worksho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urses\ASM%20345\LAB%20fuel%20consumption%20model%20solut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urses\ASM%20105\lookup%20trendline%20if%20examplesSP20b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ATS%20Excel\tutorial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part 1 -- targets"/>
      <sheetName val="part 2 -- weights"/>
      <sheetName val="part 3 -- tire inflation"/>
    </sheetNames>
    <sheetDataSet>
      <sheetData sheetId="0" refreshError="1"/>
      <sheetData sheetId="1" refreshError="1"/>
      <sheetData sheetId="2">
        <row r="3">
          <cell r="B3" t="str">
            <v>wheel base of the tractor</v>
          </cell>
          <cell r="C3">
            <v>120</v>
          </cell>
          <cell r="D3">
            <v>120</v>
          </cell>
          <cell r="E3" t="str">
            <v>in</v>
          </cell>
          <cell r="F3" t="str">
            <v>measure axle center to axle center</v>
          </cell>
        </row>
        <row r="4">
          <cell r="B4" t="str">
            <v>distance from front axle to front weights</v>
          </cell>
          <cell r="C4">
            <v>48</v>
          </cell>
          <cell r="D4">
            <v>48</v>
          </cell>
          <cell r="E4" t="str">
            <v>in from front axle</v>
          </cell>
          <cell r="F4" t="str">
            <v>measure axle center to center of weights</v>
          </cell>
        </row>
        <row r="5">
          <cell r="B5" t="str">
            <v>distance from rear axle to rear weights</v>
          </cell>
          <cell r="C5">
            <v>0</v>
          </cell>
          <cell r="D5">
            <v>36</v>
          </cell>
          <cell r="E5" t="str">
            <v>in</v>
          </cell>
          <cell r="F5" t="str">
            <v>measure axle center to center of weights</v>
          </cell>
        </row>
        <row r="6">
          <cell r="B6" t="str">
            <v>current static front axle weight</v>
          </cell>
          <cell r="C6">
            <v>7900</v>
          </cell>
          <cell r="D6">
            <v>7000</v>
          </cell>
          <cell r="E6" t="str">
            <v>lb</v>
          </cell>
          <cell r="F6" t="str">
            <v>weigh axles separately without any hitch load</v>
          </cell>
        </row>
        <row r="7">
          <cell r="B7" t="str">
            <v>current static rear axle weight</v>
          </cell>
          <cell r="C7">
            <v>12770</v>
          </cell>
          <cell r="D7">
            <v>10000</v>
          </cell>
          <cell r="E7" t="str">
            <v>lb</v>
          </cell>
          <cell r="F7" t="str">
            <v>weigh axles separately without any hitch load</v>
          </cell>
        </row>
        <row r="9">
          <cell r="B9" t="str">
            <v>target rear axle weight</v>
          </cell>
          <cell r="C9">
            <v>13150</v>
          </cell>
          <cell r="D9">
            <v>11600</v>
          </cell>
          <cell r="E9" t="str">
            <v>lb</v>
          </cell>
          <cell r="F9" t="str">
            <v>see other sheet</v>
          </cell>
        </row>
        <row r="12">
          <cell r="B12" t="str">
            <v>current tractor weight</v>
          </cell>
          <cell r="C12">
            <v>20670</v>
          </cell>
          <cell r="D12">
            <v>17000</v>
          </cell>
          <cell r="E12" t="str">
            <v>lb</v>
          </cell>
          <cell r="F12" t="str">
            <v>=SR+SF</v>
          </cell>
        </row>
        <row r="17">
          <cell r="B17" t="str">
            <v>front weights to add (- means remove)</v>
          </cell>
          <cell r="C17">
            <v>-2500</v>
          </cell>
          <cell r="D17">
            <v>2200</v>
          </cell>
          <cell r="E17" t="str">
            <v>lb</v>
          </cell>
          <cell r="F17" t="str">
            <v>=(CTW*(Xcg-Xwb-Xrw)-TRF*Xwb+TTW*(Xwb+Xrw))/(Xfw+Xwb+Xrw)</v>
          </cell>
        </row>
      </sheetData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ing point"/>
      <sheetName val="calcs in place"/>
      <sheetName val="multiple columns"/>
      <sheetName val="data table"/>
    </sheetNames>
    <sheetDataSet>
      <sheetData sheetId="0" refreshError="1"/>
      <sheetData sheetId="1">
        <row r="5">
          <cell r="B5" t="str">
            <v>width</v>
          </cell>
        </row>
        <row r="9">
          <cell r="B9" t="str">
            <v>area of side with W &amp; H</v>
          </cell>
          <cell r="C9">
            <v>288</v>
          </cell>
          <cell r="D9" t="str">
            <v>sq in</v>
          </cell>
          <cell r="E9" t="str">
            <v>H*W</v>
          </cell>
        </row>
        <row r="10">
          <cell r="B10" t="str">
            <v>area of side with L &amp; W</v>
          </cell>
          <cell r="C10">
            <v>342</v>
          </cell>
          <cell r="D10" t="str">
            <v>sq in</v>
          </cell>
          <cell r="E10" t="str">
            <v>L*W</v>
          </cell>
        </row>
        <row r="11">
          <cell r="B11" t="str">
            <v>area of side with L &amp; H</v>
          </cell>
          <cell r="C11">
            <v>304</v>
          </cell>
          <cell r="D11" t="str">
            <v>sq in</v>
          </cell>
          <cell r="E11" t="str">
            <v>L*H</v>
          </cell>
        </row>
      </sheetData>
      <sheetData sheetId="2" refreshError="1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x calc's"/>
      <sheetName val="bunker packing"/>
      <sheetName val="hay drying"/>
      <sheetName val="farmette inputs"/>
      <sheetName val="LP farmette"/>
    </sheetNames>
    <sheetDataSet>
      <sheetData sheetId="0">
        <row r="9">
          <cell r="B9" t="str">
            <v>area of side with W &amp; H</v>
          </cell>
          <cell r="C9">
            <v>288</v>
          </cell>
          <cell r="D9" t="str">
            <v>sq in</v>
          </cell>
          <cell r="E9" t="str">
            <v>H*W</v>
          </cell>
        </row>
        <row r="11">
          <cell r="B11" t="str">
            <v>area of side with L &amp; H</v>
          </cell>
          <cell r="C11">
            <v>304</v>
          </cell>
          <cell r="D11" t="str">
            <v>sq in</v>
          </cell>
          <cell r="E11" t="str">
            <v>L*H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zed"/>
      <sheetName val="Intrinsic functions"/>
      <sheetName val="Ballast example"/>
      <sheetName val="Data Table"/>
      <sheetName val="table &amp; plots"/>
      <sheetName val="Statistics"/>
      <sheetName val="database"/>
      <sheetName val="database copy"/>
      <sheetName val="iterative 1"/>
      <sheetName val="traction model"/>
      <sheetName val="Solver #1"/>
      <sheetName val="LP problem"/>
      <sheetName val="LP problem #2"/>
      <sheetName val="ration balancer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B5" t="str">
            <v>horiz length</v>
          </cell>
        </row>
        <row r="7">
          <cell r="B7" t="str">
            <v>90 degree bends</v>
          </cell>
          <cell r="C7">
            <v>4</v>
          </cell>
          <cell r="E7" t="str">
            <v>likely varies</v>
          </cell>
          <cell r="F7">
            <v>2.54</v>
          </cell>
          <cell r="G7" t="e">
            <v>#NAME?</v>
          </cell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</row>
        <row r="8">
          <cell r="B8" t="str">
            <v>diameter</v>
          </cell>
          <cell r="C8">
            <v>13.572291997663534</v>
          </cell>
          <cell r="D8" t="str">
            <v>cm</v>
          </cell>
          <cell r="E8" t="str">
            <v>consider optimizing, good use of SOLVER</v>
          </cell>
          <cell r="F8">
            <v>3.81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</row>
        <row r="9">
          <cell r="B9" t="str">
            <v>capacity</v>
          </cell>
          <cell r="C9">
            <v>30000</v>
          </cell>
          <cell r="D9" t="str">
            <v>kg/h</v>
          </cell>
          <cell r="E9" t="str">
            <v>likely will vary, could optimize with SOLVER</v>
          </cell>
          <cell r="F9">
            <v>5.08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</row>
        <row r="10">
          <cell r="B10" t="str">
            <v>bend radius / pipe diam ratio</v>
          </cell>
          <cell r="C10">
            <v>5</v>
          </cell>
          <cell r="F10">
            <v>6.35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</row>
        <row r="11">
          <cell r="B11" t="str">
            <v>air viscosity</v>
          </cell>
          <cell r="C11">
            <v>1.0000000000000001E-5</v>
          </cell>
          <cell r="D11" t="str">
            <v>sq m/sq s</v>
          </cell>
          <cell r="E11" t="str">
            <v>typical air</v>
          </cell>
          <cell r="F11">
            <v>7.6199999999999992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</row>
        <row r="12">
          <cell r="B12" t="str">
            <v>air density</v>
          </cell>
          <cell r="C12">
            <v>1.2</v>
          </cell>
          <cell r="D12" t="str">
            <v>kg/cu m</v>
          </cell>
          <cell r="E12" t="str">
            <v>typical air</v>
          </cell>
          <cell r="F12">
            <v>10.16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</row>
        <row r="13">
          <cell r="B13" t="str">
            <v>blower efficiency</v>
          </cell>
          <cell r="C13">
            <v>0.6</v>
          </cell>
          <cell r="D13" t="str">
            <v>decimal</v>
          </cell>
          <cell r="E13" t="str">
            <v>typical range 0.5-0.7</v>
          </cell>
          <cell r="F13">
            <v>12.7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</row>
        <row r="17">
          <cell r="B17" t="str">
            <v>particle density</v>
          </cell>
          <cell r="C17">
            <v>1300</v>
          </cell>
          <cell r="D17" t="str">
            <v>kg/cu m</v>
          </cell>
          <cell r="E17" t="str">
            <v>Table 11.2</v>
          </cell>
          <cell r="F17">
            <v>22.859999999999996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</row>
        <row r="19">
          <cell r="B19" t="str">
            <v>bend K factor</v>
          </cell>
          <cell r="C19">
            <v>0.9</v>
          </cell>
          <cell r="D19" t="str">
            <v xml:space="preserve"> --</v>
          </cell>
          <cell r="E19" t="str">
            <v>Table 11.2</v>
          </cell>
        </row>
        <row r="21">
          <cell r="B21" t="str">
            <v>vol air flow rate</v>
          </cell>
          <cell r="C21">
            <v>0.46296296298753653</v>
          </cell>
          <cell r="D21" t="str">
            <v>cu m/s</v>
          </cell>
          <cell r="E21" t="str">
            <v>PI()*(DIA/100)^2/4*v</v>
          </cell>
        </row>
        <row r="22">
          <cell r="B22" t="str">
            <v>mass air flow rate</v>
          </cell>
          <cell r="C22">
            <v>0.55555555558504377</v>
          </cell>
          <cell r="D22" t="str">
            <v>kg/s</v>
          </cell>
          <cell r="E22" t="str">
            <v>Qair*rhoa</v>
          </cell>
        </row>
        <row r="23">
          <cell r="B23" t="str">
            <v>mass flow ratio</v>
          </cell>
          <cell r="C23">
            <v>14.999999999203817</v>
          </cell>
          <cell r="D23" t="str">
            <v>kg grain/kg air</v>
          </cell>
          <cell r="E23" t="str">
            <v>CAP/(Qmair*3600)</v>
          </cell>
        </row>
        <row r="24">
          <cell r="B24" t="str">
            <v>air mass rate for proper phim</v>
          </cell>
          <cell r="C24">
            <v>0.55555555555555558</v>
          </cell>
          <cell r="D24" t="str">
            <v>kg/s</v>
          </cell>
          <cell r="E24" t="str">
            <v>CAP/3600/15</v>
          </cell>
        </row>
        <row r="25">
          <cell r="B25" t="str">
            <v>air vel for proper phim</v>
          </cell>
          <cell r="C25">
            <v>31.99999999830148</v>
          </cell>
          <cell r="D25" t="str">
            <v>m/s</v>
          </cell>
          <cell r="E25" t="str">
            <v>Qmair2/(rhoa*PI()*(DIA/100)^2/4)</v>
          </cell>
        </row>
        <row r="26">
          <cell r="B26" t="str">
            <v>air velocity to use</v>
          </cell>
          <cell r="C26" t="e">
            <v>#NAME?</v>
          </cell>
          <cell r="D26" t="str">
            <v>m/s</v>
          </cell>
          <cell r="E26" t="str">
            <v>MAX(Vphi,v)</v>
          </cell>
        </row>
        <row r="27">
          <cell r="B27" t="str">
            <v>mass flow ratio</v>
          </cell>
          <cell r="C27">
            <v>14.999999999203817</v>
          </cell>
          <cell r="D27" t="str">
            <v>kg grain/kg air</v>
          </cell>
          <cell r="E27" t="str">
            <v>MIN(15,phim)</v>
          </cell>
        </row>
        <row r="28">
          <cell r="B28" t="str">
            <v>Reynolds number</v>
          </cell>
          <cell r="C28" t="e">
            <v>#NAME?</v>
          </cell>
          <cell r="D28" t="str">
            <v xml:space="preserve"> --</v>
          </cell>
          <cell r="E28" t="str">
            <v>rhoa*Vuse*(DIA/100)/mu</v>
          </cell>
        </row>
        <row r="29">
          <cell r="B29" t="str">
            <v>friction loss factor</v>
          </cell>
          <cell r="C29" t="e">
            <v>#NAME?</v>
          </cell>
          <cell r="D29" t="str">
            <v xml:space="preserve"> --</v>
          </cell>
          <cell r="E29" t="str">
            <v>(0.0014+0.125*Re^(-0.32))*4</v>
          </cell>
        </row>
        <row r="30">
          <cell r="B30" t="str">
            <v>equivalent length of bends</v>
          </cell>
          <cell r="C30" t="e">
            <v>#NAME?</v>
          </cell>
          <cell r="D30" t="str">
            <v>m</v>
          </cell>
          <cell r="E30" t="str">
            <v>nbends*Kbend*(DIA/100)/lambdaL</v>
          </cell>
        </row>
        <row r="31">
          <cell r="B31" t="str">
            <v>total equivalent length</v>
          </cell>
          <cell r="C31" t="e">
            <v>#NAME?</v>
          </cell>
          <cell r="D31" t="str">
            <v>m</v>
          </cell>
          <cell r="E31" t="str">
            <v>L+h+Leq</v>
          </cell>
        </row>
        <row r="32">
          <cell r="B32" t="str">
            <v>pressure drop from air in lines</v>
          </cell>
          <cell r="C32" t="e">
            <v>#NAME?</v>
          </cell>
          <cell r="D32" t="str">
            <v>kPa</v>
          </cell>
          <cell r="E32" t="str">
            <v>(lambdaL*(rhoa/2)*Vuse^2*Ltot/(DIA/100))/1000</v>
          </cell>
        </row>
        <row r="33">
          <cell r="B33" t="str">
            <v>solids velocity</v>
          </cell>
          <cell r="C33" t="e">
            <v>#NAME?</v>
          </cell>
          <cell r="D33" t="str">
            <v>m/s</v>
          </cell>
          <cell r="E33" t="str">
            <v>Vuse*(1-0.68*(d/1000)^0.92*rhop^0.5*rhoa^(-0.2)*(DIA/100)^0.54)</v>
          </cell>
        </row>
        <row r="34">
          <cell r="B34" t="str">
            <v>press drop from acceleration</v>
          </cell>
          <cell r="C34" t="e">
            <v>#NAME?</v>
          </cell>
          <cell r="D34" t="str">
            <v>kPa</v>
          </cell>
          <cell r="E34" t="str">
            <v>phimact*Vuse*rhoa*Vsol/1000</v>
          </cell>
        </row>
        <row r="35">
          <cell r="B35" t="str">
            <v>apparent density during transport</v>
          </cell>
          <cell r="C35" t="e">
            <v>#NAME?</v>
          </cell>
          <cell r="D35" t="str">
            <v>kg/cu m</v>
          </cell>
          <cell r="E35" t="str">
            <v>phimact*Vuse*rhoa/Vsol</v>
          </cell>
        </row>
        <row r="36">
          <cell r="B36" t="str">
            <v>press drop from lift</v>
          </cell>
          <cell r="C36" t="e">
            <v>#NAME?</v>
          </cell>
          <cell r="D36" t="str">
            <v>kPa</v>
          </cell>
          <cell r="E36" t="str">
            <v>rhostar*9.807*h/1000</v>
          </cell>
        </row>
        <row r="37">
          <cell r="B37" t="str">
            <v>friction factor for solids</v>
          </cell>
          <cell r="C37" t="e">
            <v>#NAME?</v>
          </cell>
          <cell r="D37" t="str">
            <v xml:space="preserve"> --</v>
          </cell>
          <cell r="E37" t="str">
            <v>0.0285*(9.807*(DIA/100))^0.5/Vsol</v>
          </cell>
        </row>
        <row r="38">
          <cell r="B38" t="str">
            <v>press drop from solids</v>
          </cell>
          <cell r="C38" t="e">
            <v>#NAME?</v>
          </cell>
          <cell r="D38" t="str">
            <v>kPa</v>
          </cell>
          <cell r="E38" t="str">
            <v>phimact*lambdaS*(rhoa/2)*Vuse^2*(L+h)/(DIA/100)/1000</v>
          </cell>
        </row>
        <row r="39">
          <cell r="B39" t="str">
            <v>press drop from solids in bends</v>
          </cell>
          <cell r="C39" t="e">
            <v>#NAME?</v>
          </cell>
          <cell r="D39" t="str">
            <v>kPa</v>
          </cell>
          <cell r="E39" t="str">
            <v>0.245*(CAP/3600)/(rhoa*Vuse*(DIA/100)^2)*(ratio)^-0.26*rhoa*Vuse^2/1000</v>
          </cell>
        </row>
        <row r="41">
          <cell r="B41" t="str">
            <v>total pressure drop</v>
          </cell>
          <cell r="C41" t="e">
            <v>#NAME?</v>
          </cell>
          <cell r="D41" t="str">
            <v>kPa</v>
          </cell>
          <cell r="E41" t="str">
            <v>delpair+delpacc+delplift+delpS+delpbS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tting parameters"/>
      <sheetName val="fuel consumption model"/>
      <sheetName val="common SFC"/>
      <sheetName val="7610 get param"/>
      <sheetName val="7610 model"/>
    </sheetNames>
    <sheetDataSet>
      <sheetData sheetId="0"/>
      <sheetData sheetId="1" refreshError="1"/>
      <sheetData sheetId="2">
        <row r="7">
          <cell r="B7" t="str">
            <v>SFC goal</v>
          </cell>
          <cell r="C7">
            <v>0.5</v>
          </cell>
          <cell r="D7">
            <v>0.5</v>
          </cell>
          <cell r="E7">
            <v>0.5</v>
          </cell>
          <cell r="F7">
            <v>0.5</v>
          </cell>
          <cell r="G7">
            <v>0.5</v>
          </cell>
          <cell r="H7">
            <v>0.5</v>
          </cell>
          <cell r="I7">
            <v>0.5</v>
          </cell>
        </row>
      </sheetData>
      <sheetData sheetId="3">
        <row r="4">
          <cell r="B4" t="str">
            <v>rated PTO power</v>
          </cell>
          <cell r="C4">
            <v>115.96</v>
          </cell>
          <cell r="D4" t="str">
            <v>hp</v>
          </cell>
        </row>
        <row r="5">
          <cell r="B5" t="str">
            <v>maximum drawbar power</v>
          </cell>
          <cell r="C5">
            <v>96.26</v>
          </cell>
          <cell r="D5" t="str">
            <v>hp</v>
          </cell>
        </row>
        <row r="6">
          <cell r="B6" t="str">
            <v>power with 75% of pull at maximum power</v>
          </cell>
          <cell r="C6">
            <v>75.72</v>
          </cell>
          <cell r="D6" t="str">
            <v>hp</v>
          </cell>
        </row>
        <row r="7">
          <cell r="B7" t="str">
            <v>power with 50% of pull at maximum power</v>
          </cell>
          <cell r="C7">
            <v>51.48</v>
          </cell>
          <cell r="D7" t="str">
            <v>hp</v>
          </cell>
        </row>
        <row r="8">
          <cell r="B8" t="str">
            <v>power with 75% of pull at reduced engine speed</v>
          </cell>
          <cell r="C8">
            <v>75.86</v>
          </cell>
          <cell r="D8" t="str">
            <v>hp</v>
          </cell>
        </row>
        <row r="9">
          <cell r="B9" t="str">
            <v>power with 50% of pull at reduced engine speed</v>
          </cell>
          <cell r="C9">
            <v>51.6</v>
          </cell>
          <cell r="D9" t="str">
            <v>hp</v>
          </cell>
        </row>
        <row r="10">
          <cell r="B10" t="str">
            <v>specific volumetric fuel consumption with 75% of pull at maximum power</v>
          </cell>
          <cell r="C10">
            <v>7.8125E-2</v>
          </cell>
          <cell r="D10" t="str">
            <v>gal/hph</v>
          </cell>
        </row>
        <row r="11">
          <cell r="B11" t="str">
            <v>specific volumetric fuel consumption with 50% of pull at maximum power</v>
          </cell>
          <cell r="C11">
            <v>9.27643784786642E-2</v>
          </cell>
          <cell r="D11" t="str">
            <v>gal/hph</v>
          </cell>
        </row>
        <row r="12">
          <cell r="B12" t="str">
            <v>specific volumetric fuel consumption with 75% of pull at reduced engine speed</v>
          </cell>
          <cell r="C12">
            <v>6.835269993164729E-2</v>
          </cell>
          <cell r="D12" t="str">
            <v>gal/hph</v>
          </cell>
        </row>
        <row r="13">
          <cell r="B13" t="str">
            <v>specific volumetric fuel consumption with 50% of pull at reduced engine speed</v>
          </cell>
          <cell r="C13">
            <v>7.8125E-2</v>
          </cell>
          <cell r="D13" t="str">
            <v>gal/hph</v>
          </cell>
        </row>
        <row r="14">
          <cell r="B14" t="str">
            <v>engine speed with 75% of pull at maximum power</v>
          </cell>
          <cell r="C14">
            <v>2190</v>
          </cell>
          <cell r="D14" t="str">
            <v>rpm</v>
          </cell>
        </row>
        <row r="15">
          <cell r="B15" t="str">
            <v>engine speed with 50% of pull at maximum power</v>
          </cell>
          <cell r="C15">
            <v>2221</v>
          </cell>
          <cell r="D15" t="str">
            <v>rpm</v>
          </cell>
        </row>
        <row r="16">
          <cell r="B16" t="str">
            <v>engine speed with 75% of pull at reduced engine speed</v>
          </cell>
          <cell r="C16">
            <v>1665</v>
          </cell>
          <cell r="D16" t="str">
            <v>rpm</v>
          </cell>
        </row>
        <row r="17">
          <cell r="B17" t="str">
            <v>engine speed with 50% of pull at reduced engine speed</v>
          </cell>
          <cell r="C17">
            <v>1685</v>
          </cell>
          <cell r="D17" t="str">
            <v>rpm</v>
          </cell>
        </row>
        <row r="20">
          <cell r="B20" t="str">
            <v>ratio of equivalent PTO power to rated PTO power, 75% full</v>
          </cell>
          <cell r="C20">
            <v>0.78661957199252019</v>
          </cell>
          <cell r="D20" t="str">
            <v>decimal</v>
          </cell>
          <cell r="E20" t="str">
            <v>=P75F/PmaxDB</v>
          </cell>
        </row>
        <row r="21">
          <cell r="B21" t="str">
            <v>ratio of equivalent PTO power to rated PTO power, 50% full</v>
          </cell>
          <cell r="C21">
            <v>0.53480157905672132</v>
          </cell>
          <cell r="D21" t="str">
            <v>decimal</v>
          </cell>
          <cell r="E21" t="str">
            <v>=P50F/PmaxDB</v>
          </cell>
        </row>
        <row r="22">
          <cell r="B22" t="str">
            <v>ratio of equivalent PTO power to rated PTO power, 75% reduced</v>
          </cell>
          <cell r="C22">
            <v>0.78807396634115934</v>
          </cell>
          <cell r="D22" t="str">
            <v>decimal</v>
          </cell>
          <cell r="E22" t="str">
            <v>=P75R/PmaxDB</v>
          </cell>
        </row>
        <row r="23">
          <cell r="B23" t="str">
            <v>ratio of equivalent PTO power to rated PTO power, 50% reduced</v>
          </cell>
          <cell r="C23">
            <v>0.53604820278412635</v>
          </cell>
          <cell r="D23" t="str">
            <v>decimal</v>
          </cell>
          <cell r="E23" t="str">
            <v>=P50R/PmaxDB</v>
          </cell>
        </row>
        <row r="24">
          <cell r="B24" t="str">
            <v>fuel consumption, 75% full</v>
          </cell>
          <cell r="C24">
            <v>5.9156250000000004</v>
          </cell>
          <cell r="D24" t="str">
            <v>gal/h</v>
          </cell>
          <cell r="E24" t="str">
            <v>=SVFC75F*P75F</v>
          </cell>
        </row>
        <row r="25">
          <cell r="B25" t="str">
            <v>fuel consumption, 50% full</v>
          </cell>
          <cell r="C25">
            <v>4.7755102040816331</v>
          </cell>
          <cell r="D25" t="str">
            <v>gal/h</v>
          </cell>
          <cell r="E25" t="str">
            <v>=SVFC50F*P50F</v>
          </cell>
        </row>
        <row r="26">
          <cell r="B26" t="str">
            <v>fuel consumption, 75% reduced</v>
          </cell>
          <cell r="C26">
            <v>5.185235816814763</v>
          </cell>
          <cell r="D26" t="str">
            <v>gal/h</v>
          </cell>
          <cell r="E26" t="str">
            <v>=SVFC75R*P75R</v>
          </cell>
        </row>
        <row r="27">
          <cell r="B27" t="str">
            <v>fuel consumption, 50% reduced</v>
          </cell>
          <cell r="C27">
            <v>4.03125</v>
          </cell>
          <cell r="D27" t="str">
            <v>gal/h</v>
          </cell>
          <cell r="E27" t="str">
            <v>=SVFC50R*P50R</v>
          </cell>
        </row>
        <row r="29">
          <cell r="B29" t="str">
            <v>intermediate parameter f</v>
          </cell>
          <cell r="C29">
            <v>0.15781250000000024</v>
          </cell>
          <cell r="D29" t="str">
            <v xml:space="preserve"> --</v>
          </cell>
          <cell r="E29" t="str">
            <v>=1-((X50F*Q50R)/(X50R*Q50F))</v>
          </cell>
        </row>
        <row r="30">
          <cell r="B30" t="str">
            <v>intermediate parameter g</v>
          </cell>
          <cell r="C30">
            <v>23.972602739726028</v>
          </cell>
          <cell r="D30" t="str">
            <v>%</v>
          </cell>
          <cell r="E30" t="str">
            <v>=(RPM75F-RPM75R)*100/RPM75F</v>
          </cell>
        </row>
        <row r="31">
          <cell r="B31" t="str">
            <v>intermediate parameter h</v>
          </cell>
          <cell r="C31">
            <v>24.133273300315174</v>
          </cell>
          <cell r="D31" t="str">
            <v>%</v>
          </cell>
          <cell r="E31" t="str">
            <v>=(RPM50F-RPM50R)*100/RPM50F</v>
          </cell>
        </row>
        <row r="36">
          <cell r="B36" t="str">
            <v>model parameter c</v>
          </cell>
          <cell r="C36">
            <v>5.2472757043231337E-3</v>
          </cell>
          <cell r="D36" t="str">
            <v>1/%</v>
          </cell>
          <cell r="E36" t="str">
            <v>=(f/h-e/g)/(X75F-X50F)</v>
          </cell>
        </row>
      </sheetData>
      <sheetData sheetId="4">
        <row r="7">
          <cell r="B7" t="str">
            <v>generalized parameter a</v>
          </cell>
          <cell r="C7">
            <v>4.3400000000000001E-2</v>
          </cell>
          <cell r="D7">
            <v>3.9043938224651707E-2</v>
          </cell>
          <cell r="E7" t="str">
            <v>gal/hph</v>
          </cell>
        </row>
        <row r="8">
          <cell r="B8" t="str">
            <v>generalized parameter b</v>
          </cell>
          <cell r="C8">
            <v>1.9E-2</v>
          </cell>
          <cell r="D8">
            <v>2.0301632424270164E-2</v>
          </cell>
          <cell r="E8" t="str">
            <v>gal/hph</v>
          </cell>
        </row>
        <row r="9">
          <cell r="B9" t="str">
            <v>generalized parameter c</v>
          </cell>
          <cell r="C9">
            <v>-4.4999999999999997E-3</v>
          </cell>
          <cell r="D9">
            <v>5.2472757043231337E-3</v>
          </cell>
          <cell r="E9" t="str">
            <v>1/%</v>
          </cell>
        </row>
        <row r="10">
          <cell r="B10" t="str">
            <v>generalized parameter d</v>
          </cell>
          <cell r="C10">
            <v>8.77E-3</v>
          </cell>
          <cell r="D10">
            <v>3.7329569231790431E-3</v>
          </cell>
          <cell r="E10" t="str">
            <v>1/%</v>
          </cell>
        </row>
        <row r="12">
          <cell r="B12" t="str">
            <v>power output</v>
          </cell>
          <cell r="C12">
            <v>30</v>
          </cell>
          <cell r="D12">
            <v>30</v>
          </cell>
          <cell r="E12" t="str">
            <v>hp</v>
          </cell>
          <cell r="F12" t="str">
            <v>operating point</v>
          </cell>
        </row>
        <row r="14">
          <cell r="B14" t="str">
            <v>speed of engine operation</v>
          </cell>
          <cell r="C14">
            <v>1500</v>
          </cell>
          <cell r="D14">
            <v>1500</v>
          </cell>
          <cell r="E14" t="str">
            <v>rpm</v>
          </cell>
          <cell r="F14" t="str">
            <v>operating point</v>
          </cell>
        </row>
        <row r="20">
          <cell r="B20" t="str">
            <v>fuel consumption</v>
          </cell>
          <cell r="C20">
            <v>2.7435207572542253</v>
          </cell>
          <cell r="D20">
            <v>3.0127394182875662</v>
          </cell>
          <cell r="E20" t="str">
            <v>gal/h</v>
          </cell>
          <cell r="F20" t="str">
            <v>=(ga*X+gb) * (1-(gc*X*Nred+gd*Nred)) * Pr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ke hub"/>
      <sheetName val="ballast 1"/>
      <sheetName val="ballast 2"/>
      <sheetName val="noise"/>
      <sheetName val="grades"/>
      <sheetName val="ballast 3"/>
    </sheetNames>
    <sheetDataSet>
      <sheetData sheetId="0" refreshError="1"/>
      <sheetData sheetId="1">
        <row r="4">
          <cell r="B4" t="str">
            <v>tractor option</v>
          </cell>
          <cell r="C4">
            <v>3</v>
          </cell>
          <cell r="D4" t="str">
            <v xml:space="preserve"> --</v>
          </cell>
        </row>
        <row r="5">
          <cell r="B5" t="str">
            <v>implement option</v>
          </cell>
          <cell r="C5">
            <v>2</v>
          </cell>
          <cell r="D5" t="str">
            <v xml:space="preserve"> --</v>
          </cell>
        </row>
      </sheetData>
      <sheetData sheetId="2">
        <row r="7">
          <cell r="A7">
            <v>4</v>
          </cell>
        </row>
      </sheetData>
      <sheetData sheetId="3">
        <row r="21">
          <cell r="B21" t="str">
            <v>duration</v>
          </cell>
        </row>
      </sheetData>
      <sheetData sheetId="4" refreshError="1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s"/>
      <sheetName val="cylinder"/>
      <sheetName val="ballast"/>
      <sheetName val="boxes"/>
      <sheetName val="2 y weather"/>
      <sheetName val="stats"/>
      <sheetName val="forms"/>
      <sheetName val="bunker"/>
      <sheetName val="farmette inputs"/>
      <sheetName val="LP farmet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B4" t="str">
            <v>tractor power at the PTO</v>
          </cell>
        </row>
        <row r="11">
          <cell r="B11" t="str">
            <v>percentage of the weight on the front axle</v>
          </cell>
          <cell r="C11">
            <v>40</v>
          </cell>
          <cell r="D11" t="str">
            <v>%</v>
          </cell>
          <cell r="E11" t="str">
            <v>=VLOOKUP(io,j5:m7,to+1)</v>
          </cell>
          <cell r="I11" t="str">
            <v>Weight to power ratio (lb/PTO hp) for total tractor weight</v>
          </cell>
        </row>
      </sheetData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4.emf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6" Type="http://schemas.openxmlformats.org/officeDocument/2006/relationships/comments" Target="../comments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4.bin"/><Relationship Id="rId11" Type="http://schemas.openxmlformats.org/officeDocument/2006/relationships/ctrlProp" Target="../ctrlProps/ctrlProp8.xml"/><Relationship Id="rId5" Type="http://schemas.openxmlformats.org/officeDocument/2006/relationships/image" Target="../media/image3.emf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oleObject" Target="../embeddings/oleObject3.bin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6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4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3.xml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.xml"/><Relationship Id="rId13" Type="http://schemas.openxmlformats.org/officeDocument/2006/relationships/comments" Target="../comments6.xml"/><Relationship Id="rId3" Type="http://schemas.openxmlformats.org/officeDocument/2006/relationships/drawing" Target="../drawings/drawing7.xml"/><Relationship Id="rId7" Type="http://schemas.openxmlformats.org/officeDocument/2006/relationships/ctrlProp" Target="../ctrlProps/ctrlProp15.xml"/><Relationship Id="rId12" Type="http://schemas.openxmlformats.org/officeDocument/2006/relationships/ctrlProp" Target="../ctrlProps/ctrlProp20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elibrary.asabe.org/login.asp?JID=5&amp;AID=43828&amp;CID=miss2013&amp;v=&amp;i=&amp;T=1&amp;refer=7&amp;access=" TargetMode="External"/><Relationship Id="rId6" Type="http://schemas.openxmlformats.org/officeDocument/2006/relationships/image" Target="../media/image8.emf"/><Relationship Id="rId11" Type="http://schemas.openxmlformats.org/officeDocument/2006/relationships/ctrlProp" Target="../ctrlProps/ctrlProp19.xml"/><Relationship Id="rId5" Type="http://schemas.openxmlformats.org/officeDocument/2006/relationships/oleObject" Target="../embeddings/oleObject8.bin"/><Relationship Id="rId10" Type="http://schemas.openxmlformats.org/officeDocument/2006/relationships/ctrlProp" Target="../ctrlProps/ctrlProp18.xml"/><Relationship Id="rId4" Type="http://schemas.openxmlformats.org/officeDocument/2006/relationships/vmlDrawing" Target="../drawings/vmlDrawing7.vml"/><Relationship Id="rId9" Type="http://schemas.openxmlformats.org/officeDocument/2006/relationships/ctrlProp" Target="../ctrlProps/ctrlProp1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sciencedirect.com/science/article/abs/pii/S0168169904001565" TargetMode="External"/><Relationship Id="rId6" Type="http://schemas.openxmlformats.org/officeDocument/2006/relationships/image" Target="../media/image9.emf"/><Relationship Id="rId5" Type="http://schemas.openxmlformats.org/officeDocument/2006/relationships/oleObject" Target="../embeddings/oleObject9.bin"/><Relationship Id="rId4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8B53F-3AD2-44EE-B71D-B6D85AC9DCBD}">
  <sheetPr>
    <pageSetUpPr fitToPage="1"/>
  </sheetPr>
  <dimension ref="A1:J55"/>
  <sheetViews>
    <sheetView tabSelected="1" zoomScale="115" zoomScaleNormal="115" workbookViewId="0">
      <selection activeCell="B5" sqref="B5"/>
    </sheetView>
  </sheetViews>
  <sheetFormatPr defaultRowHeight="12.75" x14ac:dyDescent="0.2"/>
  <cols>
    <col min="1" max="1" width="11.42578125" style="109" customWidth="1"/>
    <col min="2" max="2" width="30.7109375" style="109" bestFit="1" customWidth="1"/>
    <col min="3" max="3" width="8" style="109" bestFit="1" customWidth="1"/>
    <col min="4" max="4" width="14.85546875" style="109" customWidth="1"/>
    <col min="5" max="5" width="43" style="109" customWidth="1"/>
    <col min="6" max="7" width="9.140625" style="109"/>
    <col min="8" max="8" width="12.42578125" style="109" customWidth="1"/>
    <col min="9" max="256" width="9.140625" style="109"/>
    <col min="257" max="257" width="11.42578125" style="109" customWidth="1"/>
    <col min="258" max="258" width="30.7109375" style="109" bestFit="1" customWidth="1"/>
    <col min="259" max="259" width="8" style="109" bestFit="1" customWidth="1"/>
    <col min="260" max="260" width="14.85546875" style="109" customWidth="1"/>
    <col min="261" max="261" width="43" style="109" customWidth="1"/>
    <col min="262" max="263" width="9.140625" style="109"/>
    <col min="264" max="264" width="12.42578125" style="109" customWidth="1"/>
    <col min="265" max="512" width="9.140625" style="109"/>
    <col min="513" max="513" width="11.42578125" style="109" customWidth="1"/>
    <col min="514" max="514" width="30.7109375" style="109" bestFit="1" customWidth="1"/>
    <col min="515" max="515" width="8" style="109" bestFit="1" customWidth="1"/>
    <col min="516" max="516" width="14.85546875" style="109" customWidth="1"/>
    <col min="517" max="517" width="43" style="109" customWidth="1"/>
    <col min="518" max="519" width="9.140625" style="109"/>
    <col min="520" max="520" width="12.42578125" style="109" customWidth="1"/>
    <col min="521" max="768" width="9.140625" style="109"/>
    <col min="769" max="769" width="11.42578125" style="109" customWidth="1"/>
    <col min="770" max="770" width="30.7109375" style="109" bestFit="1" customWidth="1"/>
    <col min="771" max="771" width="8" style="109" bestFit="1" customWidth="1"/>
    <col min="772" max="772" width="14.85546875" style="109" customWidth="1"/>
    <col min="773" max="773" width="43" style="109" customWidth="1"/>
    <col min="774" max="775" width="9.140625" style="109"/>
    <col min="776" max="776" width="12.42578125" style="109" customWidth="1"/>
    <col min="777" max="1024" width="9.140625" style="109"/>
    <col min="1025" max="1025" width="11.42578125" style="109" customWidth="1"/>
    <col min="1026" max="1026" width="30.7109375" style="109" bestFit="1" customWidth="1"/>
    <col min="1027" max="1027" width="8" style="109" bestFit="1" customWidth="1"/>
    <col min="1028" max="1028" width="14.85546875" style="109" customWidth="1"/>
    <col min="1029" max="1029" width="43" style="109" customWidth="1"/>
    <col min="1030" max="1031" width="9.140625" style="109"/>
    <col min="1032" max="1032" width="12.42578125" style="109" customWidth="1"/>
    <col min="1033" max="1280" width="9.140625" style="109"/>
    <col min="1281" max="1281" width="11.42578125" style="109" customWidth="1"/>
    <col min="1282" max="1282" width="30.7109375" style="109" bestFit="1" customWidth="1"/>
    <col min="1283" max="1283" width="8" style="109" bestFit="1" customWidth="1"/>
    <col min="1284" max="1284" width="14.85546875" style="109" customWidth="1"/>
    <col min="1285" max="1285" width="43" style="109" customWidth="1"/>
    <col min="1286" max="1287" width="9.140625" style="109"/>
    <col min="1288" max="1288" width="12.42578125" style="109" customWidth="1"/>
    <col min="1289" max="1536" width="9.140625" style="109"/>
    <col min="1537" max="1537" width="11.42578125" style="109" customWidth="1"/>
    <col min="1538" max="1538" width="30.7109375" style="109" bestFit="1" customWidth="1"/>
    <col min="1539" max="1539" width="8" style="109" bestFit="1" customWidth="1"/>
    <col min="1540" max="1540" width="14.85546875" style="109" customWidth="1"/>
    <col min="1541" max="1541" width="43" style="109" customWidth="1"/>
    <col min="1542" max="1543" width="9.140625" style="109"/>
    <col min="1544" max="1544" width="12.42578125" style="109" customWidth="1"/>
    <col min="1545" max="1792" width="9.140625" style="109"/>
    <col min="1793" max="1793" width="11.42578125" style="109" customWidth="1"/>
    <col min="1794" max="1794" width="30.7109375" style="109" bestFit="1" customWidth="1"/>
    <col min="1795" max="1795" width="8" style="109" bestFit="1" customWidth="1"/>
    <col min="1796" max="1796" width="14.85546875" style="109" customWidth="1"/>
    <col min="1797" max="1797" width="43" style="109" customWidth="1"/>
    <col min="1798" max="1799" width="9.140625" style="109"/>
    <col min="1800" max="1800" width="12.42578125" style="109" customWidth="1"/>
    <col min="1801" max="2048" width="9.140625" style="109"/>
    <col min="2049" max="2049" width="11.42578125" style="109" customWidth="1"/>
    <col min="2050" max="2050" width="30.7109375" style="109" bestFit="1" customWidth="1"/>
    <col min="2051" max="2051" width="8" style="109" bestFit="1" customWidth="1"/>
    <col min="2052" max="2052" width="14.85546875" style="109" customWidth="1"/>
    <col min="2053" max="2053" width="43" style="109" customWidth="1"/>
    <col min="2054" max="2055" width="9.140625" style="109"/>
    <col min="2056" max="2056" width="12.42578125" style="109" customWidth="1"/>
    <col min="2057" max="2304" width="9.140625" style="109"/>
    <col min="2305" max="2305" width="11.42578125" style="109" customWidth="1"/>
    <col min="2306" max="2306" width="30.7109375" style="109" bestFit="1" customWidth="1"/>
    <col min="2307" max="2307" width="8" style="109" bestFit="1" customWidth="1"/>
    <col min="2308" max="2308" width="14.85546875" style="109" customWidth="1"/>
    <col min="2309" max="2309" width="43" style="109" customWidth="1"/>
    <col min="2310" max="2311" width="9.140625" style="109"/>
    <col min="2312" max="2312" width="12.42578125" style="109" customWidth="1"/>
    <col min="2313" max="2560" width="9.140625" style="109"/>
    <col min="2561" max="2561" width="11.42578125" style="109" customWidth="1"/>
    <col min="2562" max="2562" width="30.7109375" style="109" bestFit="1" customWidth="1"/>
    <col min="2563" max="2563" width="8" style="109" bestFit="1" customWidth="1"/>
    <col min="2564" max="2564" width="14.85546875" style="109" customWidth="1"/>
    <col min="2565" max="2565" width="43" style="109" customWidth="1"/>
    <col min="2566" max="2567" width="9.140625" style="109"/>
    <col min="2568" max="2568" width="12.42578125" style="109" customWidth="1"/>
    <col min="2569" max="2816" width="9.140625" style="109"/>
    <col min="2817" max="2817" width="11.42578125" style="109" customWidth="1"/>
    <col min="2818" max="2818" width="30.7109375" style="109" bestFit="1" customWidth="1"/>
    <col min="2819" max="2819" width="8" style="109" bestFit="1" customWidth="1"/>
    <col min="2820" max="2820" width="14.85546875" style="109" customWidth="1"/>
    <col min="2821" max="2821" width="43" style="109" customWidth="1"/>
    <col min="2822" max="2823" width="9.140625" style="109"/>
    <col min="2824" max="2824" width="12.42578125" style="109" customWidth="1"/>
    <col min="2825" max="3072" width="9.140625" style="109"/>
    <col min="3073" max="3073" width="11.42578125" style="109" customWidth="1"/>
    <col min="3074" max="3074" width="30.7109375" style="109" bestFit="1" customWidth="1"/>
    <col min="3075" max="3075" width="8" style="109" bestFit="1" customWidth="1"/>
    <col min="3076" max="3076" width="14.85546875" style="109" customWidth="1"/>
    <col min="3077" max="3077" width="43" style="109" customWidth="1"/>
    <col min="3078" max="3079" width="9.140625" style="109"/>
    <col min="3080" max="3080" width="12.42578125" style="109" customWidth="1"/>
    <col min="3081" max="3328" width="9.140625" style="109"/>
    <col min="3329" max="3329" width="11.42578125" style="109" customWidth="1"/>
    <col min="3330" max="3330" width="30.7109375" style="109" bestFit="1" customWidth="1"/>
    <col min="3331" max="3331" width="8" style="109" bestFit="1" customWidth="1"/>
    <col min="3332" max="3332" width="14.85546875" style="109" customWidth="1"/>
    <col min="3333" max="3333" width="43" style="109" customWidth="1"/>
    <col min="3334" max="3335" width="9.140625" style="109"/>
    <col min="3336" max="3336" width="12.42578125" style="109" customWidth="1"/>
    <col min="3337" max="3584" width="9.140625" style="109"/>
    <col min="3585" max="3585" width="11.42578125" style="109" customWidth="1"/>
    <col min="3586" max="3586" width="30.7109375" style="109" bestFit="1" customWidth="1"/>
    <col min="3587" max="3587" width="8" style="109" bestFit="1" customWidth="1"/>
    <col min="3588" max="3588" width="14.85546875" style="109" customWidth="1"/>
    <col min="3589" max="3589" width="43" style="109" customWidth="1"/>
    <col min="3590" max="3591" width="9.140625" style="109"/>
    <col min="3592" max="3592" width="12.42578125" style="109" customWidth="1"/>
    <col min="3593" max="3840" width="9.140625" style="109"/>
    <col min="3841" max="3841" width="11.42578125" style="109" customWidth="1"/>
    <col min="3842" max="3842" width="30.7109375" style="109" bestFit="1" customWidth="1"/>
    <col min="3843" max="3843" width="8" style="109" bestFit="1" customWidth="1"/>
    <col min="3844" max="3844" width="14.85546875" style="109" customWidth="1"/>
    <col min="3845" max="3845" width="43" style="109" customWidth="1"/>
    <col min="3846" max="3847" width="9.140625" style="109"/>
    <col min="3848" max="3848" width="12.42578125" style="109" customWidth="1"/>
    <col min="3849" max="4096" width="9.140625" style="109"/>
    <col min="4097" max="4097" width="11.42578125" style="109" customWidth="1"/>
    <col min="4098" max="4098" width="30.7109375" style="109" bestFit="1" customWidth="1"/>
    <col min="4099" max="4099" width="8" style="109" bestFit="1" customWidth="1"/>
    <col min="4100" max="4100" width="14.85546875" style="109" customWidth="1"/>
    <col min="4101" max="4101" width="43" style="109" customWidth="1"/>
    <col min="4102" max="4103" width="9.140625" style="109"/>
    <col min="4104" max="4104" width="12.42578125" style="109" customWidth="1"/>
    <col min="4105" max="4352" width="9.140625" style="109"/>
    <col min="4353" max="4353" width="11.42578125" style="109" customWidth="1"/>
    <col min="4354" max="4354" width="30.7109375" style="109" bestFit="1" customWidth="1"/>
    <col min="4355" max="4355" width="8" style="109" bestFit="1" customWidth="1"/>
    <col min="4356" max="4356" width="14.85546875" style="109" customWidth="1"/>
    <col min="4357" max="4357" width="43" style="109" customWidth="1"/>
    <col min="4358" max="4359" width="9.140625" style="109"/>
    <col min="4360" max="4360" width="12.42578125" style="109" customWidth="1"/>
    <col min="4361" max="4608" width="9.140625" style="109"/>
    <col min="4609" max="4609" width="11.42578125" style="109" customWidth="1"/>
    <col min="4610" max="4610" width="30.7109375" style="109" bestFit="1" customWidth="1"/>
    <col min="4611" max="4611" width="8" style="109" bestFit="1" customWidth="1"/>
    <col min="4612" max="4612" width="14.85546875" style="109" customWidth="1"/>
    <col min="4613" max="4613" width="43" style="109" customWidth="1"/>
    <col min="4614" max="4615" width="9.140625" style="109"/>
    <col min="4616" max="4616" width="12.42578125" style="109" customWidth="1"/>
    <col min="4617" max="4864" width="9.140625" style="109"/>
    <col min="4865" max="4865" width="11.42578125" style="109" customWidth="1"/>
    <col min="4866" max="4866" width="30.7109375" style="109" bestFit="1" customWidth="1"/>
    <col min="4867" max="4867" width="8" style="109" bestFit="1" customWidth="1"/>
    <col min="4868" max="4868" width="14.85546875" style="109" customWidth="1"/>
    <col min="4869" max="4869" width="43" style="109" customWidth="1"/>
    <col min="4870" max="4871" width="9.140625" style="109"/>
    <col min="4872" max="4872" width="12.42578125" style="109" customWidth="1"/>
    <col min="4873" max="5120" width="9.140625" style="109"/>
    <col min="5121" max="5121" width="11.42578125" style="109" customWidth="1"/>
    <col min="5122" max="5122" width="30.7109375" style="109" bestFit="1" customWidth="1"/>
    <col min="5123" max="5123" width="8" style="109" bestFit="1" customWidth="1"/>
    <col min="5124" max="5124" width="14.85546875" style="109" customWidth="1"/>
    <col min="5125" max="5125" width="43" style="109" customWidth="1"/>
    <col min="5126" max="5127" width="9.140625" style="109"/>
    <col min="5128" max="5128" width="12.42578125" style="109" customWidth="1"/>
    <col min="5129" max="5376" width="9.140625" style="109"/>
    <col min="5377" max="5377" width="11.42578125" style="109" customWidth="1"/>
    <col min="5378" max="5378" width="30.7109375" style="109" bestFit="1" customWidth="1"/>
    <col min="5379" max="5379" width="8" style="109" bestFit="1" customWidth="1"/>
    <col min="5380" max="5380" width="14.85546875" style="109" customWidth="1"/>
    <col min="5381" max="5381" width="43" style="109" customWidth="1"/>
    <col min="5382" max="5383" width="9.140625" style="109"/>
    <col min="5384" max="5384" width="12.42578125" style="109" customWidth="1"/>
    <col min="5385" max="5632" width="9.140625" style="109"/>
    <col min="5633" max="5633" width="11.42578125" style="109" customWidth="1"/>
    <col min="5634" max="5634" width="30.7109375" style="109" bestFit="1" customWidth="1"/>
    <col min="5635" max="5635" width="8" style="109" bestFit="1" customWidth="1"/>
    <col min="5636" max="5636" width="14.85546875" style="109" customWidth="1"/>
    <col min="5637" max="5637" width="43" style="109" customWidth="1"/>
    <col min="5638" max="5639" width="9.140625" style="109"/>
    <col min="5640" max="5640" width="12.42578125" style="109" customWidth="1"/>
    <col min="5641" max="5888" width="9.140625" style="109"/>
    <col min="5889" max="5889" width="11.42578125" style="109" customWidth="1"/>
    <col min="5890" max="5890" width="30.7109375" style="109" bestFit="1" customWidth="1"/>
    <col min="5891" max="5891" width="8" style="109" bestFit="1" customWidth="1"/>
    <col min="5892" max="5892" width="14.85546875" style="109" customWidth="1"/>
    <col min="5893" max="5893" width="43" style="109" customWidth="1"/>
    <col min="5894" max="5895" width="9.140625" style="109"/>
    <col min="5896" max="5896" width="12.42578125" style="109" customWidth="1"/>
    <col min="5897" max="6144" width="9.140625" style="109"/>
    <col min="6145" max="6145" width="11.42578125" style="109" customWidth="1"/>
    <col min="6146" max="6146" width="30.7109375" style="109" bestFit="1" customWidth="1"/>
    <col min="6147" max="6147" width="8" style="109" bestFit="1" customWidth="1"/>
    <col min="6148" max="6148" width="14.85546875" style="109" customWidth="1"/>
    <col min="6149" max="6149" width="43" style="109" customWidth="1"/>
    <col min="6150" max="6151" width="9.140625" style="109"/>
    <col min="6152" max="6152" width="12.42578125" style="109" customWidth="1"/>
    <col min="6153" max="6400" width="9.140625" style="109"/>
    <col min="6401" max="6401" width="11.42578125" style="109" customWidth="1"/>
    <col min="6402" max="6402" width="30.7109375" style="109" bestFit="1" customWidth="1"/>
    <col min="6403" max="6403" width="8" style="109" bestFit="1" customWidth="1"/>
    <col min="6404" max="6404" width="14.85546875" style="109" customWidth="1"/>
    <col min="6405" max="6405" width="43" style="109" customWidth="1"/>
    <col min="6406" max="6407" width="9.140625" style="109"/>
    <col min="6408" max="6408" width="12.42578125" style="109" customWidth="1"/>
    <col min="6409" max="6656" width="9.140625" style="109"/>
    <col min="6657" max="6657" width="11.42578125" style="109" customWidth="1"/>
    <col min="6658" max="6658" width="30.7109375" style="109" bestFit="1" customWidth="1"/>
    <col min="6659" max="6659" width="8" style="109" bestFit="1" customWidth="1"/>
    <col min="6660" max="6660" width="14.85546875" style="109" customWidth="1"/>
    <col min="6661" max="6661" width="43" style="109" customWidth="1"/>
    <col min="6662" max="6663" width="9.140625" style="109"/>
    <col min="6664" max="6664" width="12.42578125" style="109" customWidth="1"/>
    <col min="6665" max="6912" width="9.140625" style="109"/>
    <col min="6913" max="6913" width="11.42578125" style="109" customWidth="1"/>
    <col min="6914" max="6914" width="30.7109375" style="109" bestFit="1" customWidth="1"/>
    <col min="6915" max="6915" width="8" style="109" bestFit="1" customWidth="1"/>
    <col min="6916" max="6916" width="14.85546875" style="109" customWidth="1"/>
    <col min="6917" max="6917" width="43" style="109" customWidth="1"/>
    <col min="6918" max="6919" width="9.140625" style="109"/>
    <col min="6920" max="6920" width="12.42578125" style="109" customWidth="1"/>
    <col min="6921" max="7168" width="9.140625" style="109"/>
    <col min="7169" max="7169" width="11.42578125" style="109" customWidth="1"/>
    <col min="7170" max="7170" width="30.7109375" style="109" bestFit="1" customWidth="1"/>
    <col min="7171" max="7171" width="8" style="109" bestFit="1" customWidth="1"/>
    <col min="7172" max="7172" width="14.85546875" style="109" customWidth="1"/>
    <col min="7173" max="7173" width="43" style="109" customWidth="1"/>
    <col min="7174" max="7175" width="9.140625" style="109"/>
    <col min="7176" max="7176" width="12.42578125" style="109" customWidth="1"/>
    <col min="7177" max="7424" width="9.140625" style="109"/>
    <col min="7425" max="7425" width="11.42578125" style="109" customWidth="1"/>
    <col min="7426" max="7426" width="30.7109375" style="109" bestFit="1" customWidth="1"/>
    <col min="7427" max="7427" width="8" style="109" bestFit="1" customWidth="1"/>
    <col min="7428" max="7428" width="14.85546875" style="109" customWidth="1"/>
    <col min="7429" max="7429" width="43" style="109" customWidth="1"/>
    <col min="7430" max="7431" width="9.140625" style="109"/>
    <col min="7432" max="7432" width="12.42578125" style="109" customWidth="1"/>
    <col min="7433" max="7680" width="9.140625" style="109"/>
    <col min="7681" max="7681" width="11.42578125" style="109" customWidth="1"/>
    <col min="7682" max="7682" width="30.7109375" style="109" bestFit="1" customWidth="1"/>
    <col min="7683" max="7683" width="8" style="109" bestFit="1" customWidth="1"/>
    <col min="7684" max="7684" width="14.85546875" style="109" customWidth="1"/>
    <col min="7685" max="7685" width="43" style="109" customWidth="1"/>
    <col min="7686" max="7687" width="9.140625" style="109"/>
    <col min="7688" max="7688" width="12.42578125" style="109" customWidth="1"/>
    <col min="7689" max="7936" width="9.140625" style="109"/>
    <col min="7937" max="7937" width="11.42578125" style="109" customWidth="1"/>
    <col min="7938" max="7938" width="30.7109375" style="109" bestFit="1" customWidth="1"/>
    <col min="7939" max="7939" width="8" style="109" bestFit="1" customWidth="1"/>
    <col min="7940" max="7940" width="14.85546875" style="109" customWidth="1"/>
    <col min="7941" max="7941" width="43" style="109" customWidth="1"/>
    <col min="7942" max="7943" width="9.140625" style="109"/>
    <col min="7944" max="7944" width="12.42578125" style="109" customWidth="1"/>
    <col min="7945" max="8192" width="9.140625" style="109"/>
    <col min="8193" max="8193" width="11.42578125" style="109" customWidth="1"/>
    <col min="8194" max="8194" width="30.7109375" style="109" bestFit="1" customWidth="1"/>
    <col min="8195" max="8195" width="8" style="109" bestFit="1" customWidth="1"/>
    <col min="8196" max="8196" width="14.85546875" style="109" customWidth="1"/>
    <col min="8197" max="8197" width="43" style="109" customWidth="1"/>
    <col min="8198" max="8199" width="9.140625" style="109"/>
    <col min="8200" max="8200" width="12.42578125" style="109" customWidth="1"/>
    <col min="8201" max="8448" width="9.140625" style="109"/>
    <col min="8449" max="8449" width="11.42578125" style="109" customWidth="1"/>
    <col min="8450" max="8450" width="30.7109375" style="109" bestFit="1" customWidth="1"/>
    <col min="8451" max="8451" width="8" style="109" bestFit="1" customWidth="1"/>
    <col min="8452" max="8452" width="14.85546875" style="109" customWidth="1"/>
    <col min="8453" max="8453" width="43" style="109" customWidth="1"/>
    <col min="8454" max="8455" width="9.140625" style="109"/>
    <col min="8456" max="8456" width="12.42578125" style="109" customWidth="1"/>
    <col min="8457" max="8704" width="9.140625" style="109"/>
    <col min="8705" max="8705" width="11.42578125" style="109" customWidth="1"/>
    <col min="8706" max="8706" width="30.7109375" style="109" bestFit="1" customWidth="1"/>
    <col min="8707" max="8707" width="8" style="109" bestFit="1" customWidth="1"/>
    <col min="8708" max="8708" width="14.85546875" style="109" customWidth="1"/>
    <col min="8709" max="8709" width="43" style="109" customWidth="1"/>
    <col min="8710" max="8711" width="9.140625" style="109"/>
    <col min="8712" max="8712" width="12.42578125" style="109" customWidth="1"/>
    <col min="8713" max="8960" width="9.140625" style="109"/>
    <col min="8961" max="8961" width="11.42578125" style="109" customWidth="1"/>
    <col min="8962" max="8962" width="30.7109375" style="109" bestFit="1" customWidth="1"/>
    <col min="8963" max="8963" width="8" style="109" bestFit="1" customWidth="1"/>
    <col min="8964" max="8964" width="14.85546875" style="109" customWidth="1"/>
    <col min="8965" max="8965" width="43" style="109" customWidth="1"/>
    <col min="8966" max="8967" width="9.140625" style="109"/>
    <col min="8968" max="8968" width="12.42578125" style="109" customWidth="1"/>
    <col min="8969" max="9216" width="9.140625" style="109"/>
    <col min="9217" max="9217" width="11.42578125" style="109" customWidth="1"/>
    <col min="9218" max="9218" width="30.7109375" style="109" bestFit="1" customWidth="1"/>
    <col min="9219" max="9219" width="8" style="109" bestFit="1" customWidth="1"/>
    <col min="9220" max="9220" width="14.85546875" style="109" customWidth="1"/>
    <col min="9221" max="9221" width="43" style="109" customWidth="1"/>
    <col min="9222" max="9223" width="9.140625" style="109"/>
    <col min="9224" max="9224" width="12.42578125" style="109" customWidth="1"/>
    <col min="9225" max="9472" width="9.140625" style="109"/>
    <col min="9473" max="9473" width="11.42578125" style="109" customWidth="1"/>
    <col min="9474" max="9474" width="30.7109375" style="109" bestFit="1" customWidth="1"/>
    <col min="9475" max="9475" width="8" style="109" bestFit="1" customWidth="1"/>
    <col min="9476" max="9476" width="14.85546875" style="109" customWidth="1"/>
    <col min="9477" max="9477" width="43" style="109" customWidth="1"/>
    <col min="9478" max="9479" width="9.140625" style="109"/>
    <col min="9480" max="9480" width="12.42578125" style="109" customWidth="1"/>
    <col min="9481" max="9728" width="9.140625" style="109"/>
    <col min="9729" max="9729" width="11.42578125" style="109" customWidth="1"/>
    <col min="9730" max="9730" width="30.7109375" style="109" bestFit="1" customWidth="1"/>
    <col min="9731" max="9731" width="8" style="109" bestFit="1" customWidth="1"/>
    <col min="9732" max="9732" width="14.85546875" style="109" customWidth="1"/>
    <col min="9733" max="9733" width="43" style="109" customWidth="1"/>
    <col min="9734" max="9735" width="9.140625" style="109"/>
    <col min="9736" max="9736" width="12.42578125" style="109" customWidth="1"/>
    <col min="9737" max="9984" width="9.140625" style="109"/>
    <col min="9985" max="9985" width="11.42578125" style="109" customWidth="1"/>
    <col min="9986" max="9986" width="30.7109375" style="109" bestFit="1" customWidth="1"/>
    <col min="9987" max="9987" width="8" style="109" bestFit="1" customWidth="1"/>
    <col min="9988" max="9988" width="14.85546875" style="109" customWidth="1"/>
    <col min="9989" max="9989" width="43" style="109" customWidth="1"/>
    <col min="9990" max="9991" width="9.140625" style="109"/>
    <col min="9992" max="9992" width="12.42578125" style="109" customWidth="1"/>
    <col min="9993" max="10240" width="9.140625" style="109"/>
    <col min="10241" max="10241" width="11.42578125" style="109" customWidth="1"/>
    <col min="10242" max="10242" width="30.7109375" style="109" bestFit="1" customWidth="1"/>
    <col min="10243" max="10243" width="8" style="109" bestFit="1" customWidth="1"/>
    <col min="10244" max="10244" width="14.85546875" style="109" customWidth="1"/>
    <col min="10245" max="10245" width="43" style="109" customWidth="1"/>
    <col min="10246" max="10247" width="9.140625" style="109"/>
    <col min="10248" max="10248" width="12.42578125" style="109" customWidth="1"/>
    <col min="10249" max="10496" width="9.140625" style="109"/>
    <col min="10497" max="10497" width="11.42578125" style="109" customWidth="1"/>
    <col min="10498" max="10498" width="30.7109375" style="109" bestFit="1" customWidth="1"/>
    <col min="10499" max="10499" width="8" style="109" bestFit="1" customWidth="1"/>
    <col min="10500" max="10500" width="14.85546875" style="109" customWidth="1"/>
    <col min="10501" max="10501" width="43" style="109" customWidth="1"/>
    <col min="10502" max="10503" width="9.140625" style="109"/>
    <col min="10504" max="10504" width="12.42578125" style="109" customWidth="1"/>
    <col min="10505" max="10752" width="9.140625" style="109"/>
    <col min="10753" max="10753" width="11.42578125" style="109" customWidth="1"/>
    <col min="10754" max="10754" width="30.7109375" style="109" bestFit="1" customWidth="1"/>
    <col min="10755" max="10755" width="8" style="109" bestFit="1" customWidth="1"/>
    <col min="10756" max="10756" width="14.85546875" style="109" customWidth="1"/>
    <col min="10757" max="10757" width="43" style="109" customWidth="1"/>
    <col min="10758" max="10759" width="9.140625" style="109"/>
    <col min="10760" max="10760" width="12.42578125" style="109" customWidth="1"/>
    <col min="10761" max="11008" width="9.140625" style="109"/>
    <col min="11009" max="11009" width="11.42578125" style="109" customWidth="1"/>
    <col min="11010" max="11010" width="30.7109375" style="109" bestFit="1" customWidth="1"/>
    <col min="11011" max="11011" width="8" style="109" bestFit="1" customWidth="1"/>
    <col min="11012" max="11012" width="14.85546875" style="109" customWidth="1"/>
    <col min="11013" max="11013" width="43" style="109" customWidth="1"/>
    <col min="11014" max="11015" width="9.140625" style="109"/>
    <col min="11016" max="11016" width="12.42578125" style="109" customWidth="1"/>
    <col min="11017" max="11264" width="9.140625" style="109"/>
    <col min="11265" max="11265" width="11.42578125" style="109" customWidth="1"/>
    <col min="11266" max="11266" width="30.7109375" style="109" bestFit="1" customWidth="1"/>
    <col min="11267" max="11267" width="8" style="109" bestFit="1" customWidth="1"/>
    <col min="11268" max="11268" width="14.85546875" style="109" customWidth="1"/>
    <col min="11269" max="11269" width="43" style="109" customWidth="1"/>
    <col min="11270" max="11271" width="9.140625" style="109"/>
    <col min="11272" max="11272" width="12.42578125" style="109" customWidth="1"/>
    <col min="11273" max="11520" width="9.140625" style="109"/>
    <col min="11521" max="11521" width="11.42578125" style="109" customWidth="1"/>
    <col min="11522" max="11522" width="30.7109375" style="109" bestFit="1" customWidth="1"/>
    <col min="11523" max="11523" width="8" style="109" bestFit="1" customWidth="1"/>
    <col min="11524" max="11524" width="14.85546875" style="109" customWidth="1"/>
    <col min="11525" max="11525" width="43" style="109" customWidth="1"/>
    <col min="11526" max="11527" width="9.140625" style="109"/>
    <col min="11528" max="11528" width="12.42578125" style="109" customWidth="1"/>
    <col min="11529" max="11776" width="9.140625" style="109"/>
    <col min="11777" max="11777" width="11.42578125" style="109" customWidth="1"/>
    <col min="11778" max="11778" width="30.7109375" style="109" bestFit="1" customWidth="1"/>
    <col min="11779" max="11779" width="8" style="109" bestFit="1" customWidth="1"/>
    <col min="11780" max="11780" width="14.85546875" style="109" customWidth="1"/>
    <col min="11781" max="11781" width="43" style="109" customWidth="1"/>
    <col min="11782" max="11783" width="9.140625" style="109"/>
    <col min="11784" max="11784" width="12.42578125" style="109" customWidth="1"/>
    <col min="11785" max="12032" width="9.140625" style="109"/>
    <col min="12033" max="12033" width="11.42578125" style="109" customWidth="1"/>
    <col min="12034" max="12034" width="30.7109375" style="109" bestFit="1" customWidth="1"/>
    <col min="12035" max="12035" width="8" style="109" bestFit="1" customWidth="1"/>
    <col min="12036" max="12036" width="14.85546875" style="109" customWidth="1"/>
    <col min="12037" max="12037" width="43" style="109" customWidth="1"/>
    <col min="12038" max="12039" width="9.140625" style="109"/>
    <col min="12040" max="12040" width="12.42578125" style="109" customWidth="1"/>
    <col min="12041" max="12288" width="9.140625" style="109"/>
    <col min="12289" max="12289" width="11.42578125" style="109" customWidth="1"/>
    <col min="12290" max="12290" width="30.7109375" style="109" bestFit="1" customWidth="1"/>
    <col min="12291" max="12291" width="8" style="109" bestFit="1" customWidth="1"/>
    <col min="12292" max="12292" width="14.85546875" style="109" customWidth="1"/>
    <col min="12293" max="12293" width="43" style="109" customWidth="1"/>
    <col min="12294" max="12295" width="9.140625" style="109"/>
    <col min="12296" max="12296" width="12.42578125" style="109" customWidth="1"/>
    <col min="12297" max="12544" width="9.140625" style="109"/>
    <col min="12545" max="12545" width="11.42578125" style="109" customWidth="1"/>
    <col min="12546" max="12546" width="30.7109375" style="109" bestFit="1" customWidth="1"/>
    <col min="12547" max="12547" width="8" style="109" bestFit="1" customWidth="1"/>
    <col min="12548" max="12548" width="14.85546875" style="109" customWidth="1"/>
    <col min="12549" max="12549" width="43" style="109" customWidth="1"/>
    <col min="12550" max="12551" width="9.140625" style="109"/>
    <col min="12552" max="12552" width="12.42578125" style="109" customWidth="1"/>
    <col min="12553" max="12800" width="9.140625" style="109"/>
    <col min="12801" max="12801" width="11.42578125" style="109" customWidth="1"/>
    <col min="12802" max="12802" width="30.7109375" style="109" bestFit="1" customWidth="1"/>
    <col min="12803" max="12803" width="8" style="109" bestFit="1" customWidth="1"/>
    <col min="12804" max="12804" width="14.85546875" style="109" customWidth="1"/>
    <col min="12805" max="12805" width="43" style="109" customWidth="1"/>
    <col min="12806" max="12807" width="9.140625" style="109"/>
    <col min="12808" max="12808" width="12.42578125" style="109" customWidth="1"/>
    <col min="12809" max="13056" width="9.140625" style="109"/>
    <col min="13057" max="13057" width="11.42578125" style="109" customWidth="1"/>
    <col min="13058" max="13058" width="30.7109375" style="109" bestFit="1" customWidth="1"/>
    <col min="13059" max="13059" width="8" style="109" bestFit="1" customWidth="1"/>
    <col min="13060" max="13060" width="14.85546875" style="109" customWidth="1"/>
    <col min="13061" max="13061" width="43" style="109" customWidth="1"/>
    <col min="13062" max="13063" width="9.140625" style="109"/>
    <col min="13064" max="13064" width="12.42578125" style="109" customWidth="1"/>
    <col min="13065" max="13312" width="9.140625" style="109"/>
    <col min="13313" max="13313" width="11.42578125" style="109" customWidth="1"/>
    <col min="13314" max="13314" width="30.7109375" style="109" bestFit="1" customWidth="1"/>
    <col min="13315" max="13315" width="8" style="109" bestFit="1" customWidth="1"/>
    <col min="13316" max="13316" width="14.85546875" style="109" customWidth="1"/>
    <col min="13317" max="13317" width="43" style="109" customWidth="1"/>
    <col min="13318" max="13319" width="9.140625" style="109"/>
    <col min="13320" max="13320" width="12.42578125" style="109" customWidth="1"/>
    <col min="13321" max="13568" width="9.140625" style="109"/>
    <col min="13569" max="13569" width="11.42578125" style="109" customWidth="1"/>
    <col min="13570" max="13570" width="30.7109375" style="109" bestFit="1" customWidth="1"/>
    <col min="13571" max="13571" width="8" style="109" bestFit="1" customWidth="1"/>
    <col min="13572" max="13572" width="14.85546875" style="109" customWidth="1"/>
    <col min="13573" max="13573" width="43" style="109" customWidth="1"/>
    <col min="13574" max="13575" width="9.140625" style="109"/>
    <col min="13576" max="13576" width="12.42578125" style="109" customWidth="1"/>
    <col min="13577" max="13824" width="9.140625" style="109"/>
    <col min="13825" max="13825" width="11.42578125" style="109" customWidth="1"/>
    <col min="13826" max="13826" width="30.7109375" style="109" bestFit="1" customWidth="1"/>
    <col min="13827" max="13827" width="8" style="109" bestFit="1" customWidth="1"/>
    <col min="13828" max="13828" width="14.85546875" style="109" customWidth="1"/>
    <col min="13829" max="13829" width="43" style="109" customWidth="1"/>
    <col min="13830" max="13831" width="9.140625" style="109"/>
    <col min="13832" max="13832" width="12.42578125" style="109" customWidth="1"/>
    <col min="13833" max="14080" width="9.140625" style="109"/>
    <col min="14081" max="14081" width="11.42578125" style="109" customWidth="1"/>
    <col min="14082" max="14082" width="30.7109375" style="109" bestFit="1" customWidth="1"/>
    <col min="14083" max="14083" width="8" style="109" bestFit="1" customWidth="1"/>
    <col min="14084" max="14084" width="14.85546875" style="109" customWidth="1"/>
    <col min="14085" max="14085" width="43" style="109" customWidth="1"/>
    <col min="14086" max="14087" width="9.140625" style="109"/>
    <col min="14088" max="14088" width="12.42578125" style="109" customWidth="1"/>
    <col min="14089" max="14336" width="9.140625" style="109"/>
    <col min="14337" max="14337" width="11.42578125" style="109" customWidth="1"/>
    <col min="14338" max="14338" width="30.7109375" style="109" bestFit="1" customWidth="1"/>
    <col min="14339" max="14339" width="8" style="109" bestFit="1" customWidth="1"/>
    <col min="14340" max="14340" width="14.85546875" style="109" customWidth="1"/>
    <col min="14341" max="14341" width="43" style="109" customWidth="1"/>
    <col min="14342" max="14343" width="9.140625" style="109"/>
    <col min="14344" max="14344" width="12.42578125" style="109" customWidth="1"/>
    <col min="14345" max="14592" width="9.140625" style="109"/>
    <col min="14593" max="14593" width="11.42578125" style="109" customWidth="1"/>
    <col min="14594" max="14594" width="30.7109375" style="109" bestFit="1" customWidth="1"/>
    <col min="14595" max="14595" width="8" style="109" bestFit="1" customWidth="1"/>
    <col min="14596" max="14596" width="14.85546875" style="109" customWidth="1"/>
    <col min="14597" max="14597" width="43" style="109" customWidth="1"/>
    <col min="14598" max="14599" width="9.140625" style="109"/>
    <col min="14600" max="14600" width="12.42578125" style="109" customWidth="1"/>
    <col min="14601" max="14848" width="9.140625" style="109"/>
    <col min="14849" max="14849" width="11.42578125" style="109" customWidth="1"/>
    <col min="14850" max="14850" width="30.7109375" style="109" bestFit="1" customWidth="1"/>
    <col min="14851" max="14851" width="8" style="109" bestFit="1" customWidth="1"/>
    <col min="14852" max="14852" width="14.85546875" style="109" customWidth="1"/>
    <col min="14853" max="14853" width="43" style="109" customWidth="1"/>
    <col min="14854" max="14855" width="9.140625" style="109"/>
    <col min="14856" max="14856" width="12.42578125" style="109" customWidth="1"/>
    <col min="14857" max="15104" width="9.140625" style="109"/>
    <col min="15105" max="15105" width="11.42578125" style="109" customWidth="1"/>
    <col min="15106" max="15106" width="30.7109375" style="109" bestFit="1" customWidth="1"/>
    <col min="15107" max="15107" width="8" style="109" bestFit="1" customWidth="1"/>
    <col min="15108" max="15108" width="14.85546875" style="109" customWidth="1"/>
    <col min="15109" max="15109" width="43" style="109" customWidth="1"/>
    <col min="15110" max="15111" width="9.140625" style="109"/>
    <col min="15112" max="15112" width="12.42578125" style="109" customWidth="1"/>
    <col min="15113" max="15360" width="9.140625" style="109"/>
    <col min="15361" max="15361" width="11.42578125" style="109" customWidth="1"/>
    <col min="15362" max="15362" width="30.7109375" style="109" bestFit="1" customWidth="1"/>
    <col min="15363" max="15363" width="8" style="109" bestFit="1" customWidth="1"/>
    <col min="15364" max="15364" width="14.85546875" style="109" customWidth="1"/>
    <col min="15365" max="15365" width="43" style="109" customWidth="1"/>
    <col min="15366" max="15367" width="9.140625" style="109"/>
    <col min="15368" max="15368" width="12.42578125" style="109" customWidth="1"/>
    <col min="15369" max="15616" width="9.140625" style="109"/>
    <col min="15617" max="15617" width="11.42578125" style="109" customWidth="1"/>
    <col min="15618" max="15618" width="30.7109375" style="109" bestFit="1" customWidth="1"/>
    <col min="15619" max="15619" width="8" style="109" bestFit="1" customWidth="1"/>
    <col min="15620" max="15620" width="14.85546875" style="109" customWidth="1"/>
    <col min="15621" max="15621" width="43" style="109" customWidth="1"/>
    <col min="15622" max="15623" width="9.140625" style="109"/>
    <col min="15624" max="15624" width="12.42578125" style="109" customWidth="1"/>
    <col min="15625" max="15872" width="9.140625" style="109"/>
    <col min="15873" max="15873" width="11.42578125" style="109" customWidth="1"/>
    <col min="15874" max="15874" width="30.7109375" style="109" bestFit="1" customWidth="1"/>
    <col min="15875" max="15875" width="8" style="109" bestFit="1" customWidth="1"/>
    <col min="15876" max="15876" width="14.85546875" style="109" customWidth="1"/>
    <col min="15877" max="15877" width="43" style="109" customWidth="1"/>
    <col min="15878" max="15879" width="9.140625" style="109"/>
    <col min="15880" max="15880" width="12.42578125" style="109" customWidth="1"/>
    <col min="15881" max="16128" width="9.140625" style="109"/>
    <col min="16129" max="16129" width="11.42578125" style="109" customWidth="1"/>
    <col min="16130" max="16130" width="30.7109375" style="109" bestFit="1" customWidth="1"/>
    <col min="16131" max="16131" width="8" style="109" bestFit="1" customWidth="1"/>
    <col min="16132" max="16132" width="14.85546875" style="109" customWidth="1"/>
    <col min="16133" max="16133" width="43" style="109" customWidth="1"/>
    <col min="16134" max="16135" width="9.140625" style="109"/>
    <col min="16136" max="16136" width="12.42578125" style="109" customWidth="1"/>
    <col min="16137" max="16384" width="9.140625" style="109"/>
  </cols>
  <sheetData>
    <row r="1" spans="1:5" x14ac:dyDescent="0.2">
      <c r="A1" s="108" t="s">
        <v>395</v>
      </c>
    </row>
    <row r="2" spans="1:5" x14ac:dyDescent="0.2">
      <c r="A2" s="108"/>
    </row>
    <row r="3" spans="1:5" x14ac:dyDescent="0.2">
      <c r="A3" s="108" t="s">
        <v>396</v>
      </c>
    </row>
    <row r="5" spans="1:5" x14ac:dyDescent="0.2">
      <c r="A5" s="109" t="s">
        <v>397</v>
      </c>
      <c r="B5" s="109" t="s">
        <v>398</v>
      </c>
      <c r="C5" s="109" t="s">
        <v>399</v>
      </c>
      <c r="D5" s="109" t="s">
        <v>400</v>
      </c>
      <c r="E5" s="109" t="s">
        <v>401</v>
      </c>
    </row>
    <row r="7" spans="1:5" x14ac:dyDescent="0.2">
      <c r="A7" s="108" t="s">
        <v>376</v>
      </c>
    </row>
    <row r="8" spans="1:5" x14ac:dyDescent="0.2">
      <c r="A8" s="109" t="s">
        <v>402</v>
      </c>
      <c r="B8" s="109" t="s">
        <v>403</v>
      </c>
      <c r="C8" s="110">
        <v>521.89613763148645</v>
      </c>
      <c r="D8" s="109" t="s">
        <v>404</v>
      </c>
      <c r="E8" s="109" t="s">
        <v>405</v>
      </c>
    </row>
    <row r="9" spans="1:5" x14ac:dyDescent="0.2">
      <c r="A9" s="109" t="s">
        <v>406</v>
      </c>
      <c r="B9" s="109" t="s">
        <v>407</v>
      </c>
      <c r="C9" s="110">
        <v>2</v>
      </c>
      <c r="D9" s="109" t="s">
        <v>92</v>
      </c>
      <c r="E9" s="109" t="s">
        <v>408</v>
      </c>
    </row>
    <row r="10" spans="1:5" x14ac:dyDescent="0.2">
      <c r="A10" s="109" t="s">
        <v>409</v>
      </c>
      <c r="B10" s="109" t="s">
        <v>410</v>
      </c>
      <c r="C10" s="110">
        <v>190000</v>
      </c>
      <c r="D10" s="109" t="s">
        <v>411</v>
      </c>
      <c r="E10" s="109" t="s">
        <v>412</v>
      </c>
    </row>
    <row r="11" spans="1:5" x14ac:dyDescent="0.2">
      <c r="A11" s="109" t="s">
        <v>377</v>
      </c>
      <c r="B11" s="109" t="s">
        <v>413</v>
      </c>
      <c r="C11" s="110">
        <v>119000</v>
      </c>
      <c r="D11" s="109" t="s">
        <v>411</v>
      </c>
      <c r="E11" s="109" t="s">
        <v>414</v>
      </c>
    </row>
    <row r="19" spans="1:10" ht="13.5" thickBot="1" x14ac:dyDescent="0.25"/>
    <row r="20" spans="1:10" x14ac:dyDescent="0.2">
      <c r="A20" s="108" t="s">
        <v>415</v>
      </c>
      <c r="G20" s="111" t="s">
        <v>416</v>
      </c>
      <c r="H20" s="112"/>
      <c r="I20" s="112"/>
      <c r="J20" s="113"/>
    </row>
    <row r="21" spans="1:10" x14ac:dyDescent="0.2">
      <c r="A21" s="109" t="s">
        <v>417</v>
      </c>
      <c r="B21" s="109" t="s">
        <v>418</v>
      </c>
      <c r="C21" s="110">
        <v>2</v>
      </c>
      <c r="D21" s="109" t="s">
        <v>92</v>
      </c>
      <c r="E21" s="109" t="s">
        <v>419</v>
      </c>
      <c r="G21" s="114" t="s">
        <v>420</v>
      </c>
      <c r="H21" s="115" t="s">
        <v>421</v>
      </c>
      <c r="I21" s="115" t="s">
        <v>422</v>
      </c>
      <c r="J21" s="116" t="s">
        <v>423</v>
      </c>
    </row>
    <row r="22" spans="1:10" x14ac:dyDescent="0.2">
      <c r="A22" s="109" t="s">
        <v>424</v>
      </c>
      <c r="B22" s="109" t="s">
        <v>425</v>
      </c>
      <c r="C22" s="117">
        <f>VLOOKUP(S,shocktable,4)</f>
        <v>1.5</v>
      </c>
      <c r="D22" s="109" t="s">
        <v>92</v>
      </c>
      <c r="E22" s="118" t="s">
        <v>426</v>
      </c>
      <c r="G22" s="119"/>
      <c r="H22" s="115" t="s">
        <v>427</v>
      </c>
      <c r="I22" s="115" t="s">
        <v>428</v>
      </c>
      <c r="J22" s="116" t="s">
        <v>428</v>
      </c>
    </row>
    <row r="23" spans="1:10" x14ac:dyDescent="0.2">
      <c r="A23" s="109" t="s">
        <v>429</v>
      </c>
      <c r="B23" s="109" t="s">
        <v>430</v>
      </c>
      <c r="C23" s="117">
        <f>VLOOKUP(S,shocktable,3)</f>
        <v>2</v>
      </c>
      <c r="D23" s="109" t="s">
        <v>92</v>
      </c>
      <c r="E23" s="120" t="s">
        <v>431</v>
      </c>
      <c r="G23" s="114">
        <v>1</v>
      </c>
      <c r="H23" s="115" t="s">
        <v>432</v>
      </c>
      <c r="I23" s="121">
        <v>1.5</v>
      </c>
      <c r="J23" s="122">
        <v>1</v>
      </c>
    </row>
    <row r="24" spans="1:10" x14ac:dyDescent="0.2">
      <c r="G24" s="114">
        <v>2</v>
      </c>
      <c r="H24" s="115" t="s">
        <v>433</v>
      </c>
      <c r="I24" s="121">
        <v>2</v>
      </c>
      <c r="J24" s="122">
        <v>1.5</v>
      </c>
    </row>
    <row r="25" spans="1:10" ht="13.5" thickBot="1" x14ac:dyDescent="0.25">
      <c r="A25" s="108" t="s">
        <v>393</v>
      </c>
      <c r="G25" s="123">
        <v>3</v>
      </c>
      <c r="H25" s="124" t="s">
        <v>434</v>
      </c>
      <c r="I25" s="125">
        <v>3</v>
      </c>
      <c r="J25" s="126">
        <v>3</v>
      </c>
    </row>
    <row r="26" spans="1:10" x14ac:dyDescent="0.2">
      <c r="A26" s="109" t="s">
        <v>435</v>
      </c>
      <c r="B26" s="109" t="s">
        <v>436</v>
      </c>
      <c r="C26" s="127">
        <f>(32*FS*((Km*M)^2+(Kt*T)^2)^0.5/(YS*PI()))^(1/3)</f>
        <v>25.400478094227914</v>
      </c>
      <c r="D26" s="109" t="s">
        <v>161</v>
      </c>
      <c r="E26" s="118" t="s">
        <v>437</v>
      </c>
    </row>
    <row r="27" spans="1:10" x14ac:dyDescent="0.2">
      <c r="C27" s="127"/>
    </row>
    <row r="29" spans="1:10" x14ac:dyDescent="0.2">
      <c r="A29" s="108" t="s">
        <v>438</v>
      </c>
    </row>
    <row r="30" spans="1:10" x14ac:dyDescent="0.2">
      <c r="C30" s="128" t="s">
        <v>439</v>
      </c>
      <c r="D30" s="128" t="s">
        <v>440</v>
      </c>
    </row>
    <row r="31" spans="1:10" x14ac:dyDescent="0.2">
      <c r="B31" s="128" t="s">
        <v>441</v>
      </c>
      <c r="C31" s="128" t="s">
        <v>442</v>
      </c>
      <c r="D31" s="128" t="s">
        <v>443</v>
      </c>
    </row>
    <row r="32" spans="1:10" x14ac:dyDescent="0.2">
      <c r="B32" s="128"/>
      <c r="C32" s="128" t="s">
        <v>444</v>
      </c>
      <c r="D32" s="128" t="s">
        <v>445</v>
      </c>
    </row>
    <row r="33" spans="2:4" x14ac:dyDescent="0.2">
      <c r="C33" s="129"/>
      <c r="D33" s="130">
        <f>C26</f>
        <v>25.400478094227914</v>
      </c>
    </row>
    <row r="34" spans="2:4" x14ac:dyDescent="0.2">
      <c r="B34" s="128" t="s">
        <v>446</v>
      </c>
      <c r="C34" s="129">
        <v>190</v>
      </c>
      <c r="D34" s="131">
        <f t="dataTable" ref="D34:D55" dt2D="0" dtr="0" r1="C8"/>
        <v>35.572854694234671</v>
      </c>
    </row>
    <row r="35" spans="2:4" x14ac:dyDescent="0.2">
      <c r="B35" s="128" t="s">
        <v>447</v>
      </c>
      <c r="C35" s="129">
        <v>320</v>
      </c>
      <c r="D35" s="131">
        <v>29.898765657912495</v>
      </c>
    </row>
    <row r="36" spans="2:4" x14ac:dyDescent="0.2">
      <c r="B36" s="128" t="s">
        <v>448</v>
      </c>
      <c r="C36" s="129">
        <v>220</v>
      </c>
      <c r="D36" s="131">
        <v>33.876278279662785</v>
      </c>
    </row>
    <row r="37" spans="2:4" x14ac:dyDescent="0.2">
      <c r="B37" s="128" t="s">
        <v>449</v>
      </c>
      <c r="C37" s="129">
        <v>370</v>
      </c>
      <c r="D37" s="131">
        <v>28.486297834267802</v>
      </c>
    </row>
    <row r="38" spans="2:4" x14ac:dyDescent="0.2">
      <c r="B38" s="128" t="s">
        <v>450</v>
      </c>
      <c r="C38" s="129">
        <v>210</v>
      </c>
      <c r="D38" s="131">
        <v>34.405680637570832</v>
      </c>
    </row>
    <row r="39" spans="2:4" x14ac:dyDescent="0.2">
      <c r="B39" s="128" t="s">
        <v>451</v>
      </c>
      <c r="C39" s="129">
        <v>350</v>
      </c>
      <c r="D39" s="131">
        <v>29.018874921667148</v>
      </c>
    </row>
    <row r="40" spans="2:4" x14ac:dyDescent="0.2">
      <c r="B40" s="128" t="s">
        <v>452</v>
      </c>
      <c r="C40" s="129">
        <v>260</v>
      </c>
      <c r="D40" s="131">
        <v>32.041448131565659</v>
      </c>
    </row>
    <row r="41" spans="2:4" x14ac:dyDescent="0.2">
      <c r="B41" s="128" t="s">
        <v>453</v>
      </c>
      <c r="C41" s="129">
        <v>440</v>
      </c>
      <c r="D41" s="131">
        <v>26.887619888952091</v>
      </c>
    </row>
    <row r="42" spans="2:4" x14ac:dyDescent="0.2">
      <c r="B42" s="128" t="s">
        <v>454</v>
      </c>
      <c r="C42" s="129">
        <v>290</v>
      </c>
      <c r="D42" s="131">
        <v>30.896118304677753</v>
      </c>
    </row>
    <row r="43" spans="2:4" x14ac:dyDescent="0.2">
      <c r="B43" s="128" t="s">
        <v>455</v>
      </c>
      <c r="C43" s="129">
        <v>490</v>
      </c>
      <c r="D43" s="131">
        <v>25.940074877003397</v>
      </c>
    </row>
    <row r="44" spans="2:4" x14ac:dyDescent="0.2">
      <c r="B44" s="128" t="s">
        <v>456</v>
      </c>
      <c r="C44" s="129">
        <v>310</v>
      </c>
      <c r="D44" s="131">
        <v>30.216861507560889</v>
      </c>
    </row>
    <row r="45" spans="2:4" x14ac:dyDescent="0.2">
      <c r="B45" s="128" t="s">
        <v>457</v>
      </c>
      <c r="C45" s="129">
        <v>530</v>
      </c>
      <c r="D45" s="131">
        <v>25.270352238025009</v>
      </c>
    </row>
    <row r="46" spans="2:4" x14ac:dyDescent="0.2">
      <c r="B46" s="128" t="s">
        <v>458</v>
      </c>
      <c r="C46" s="129">
        <v>500</v>
      </c>
      <c r="D46" s="131">
        <v>25.765975169016254</v>
      </c>
    </row>
    <row r="47" spans="2:4" x14ac:dyDescent="0.2">
      <c r="B47" s="128" t="s">
        <v>459</v>
      </c>
      <c r="C47" s="129">
        <v>340</v>
      </c>
      <c r="D47" s="131">
        <v>29.300629192180036</v>
      </c>
    </row>
    <row r="48" spans="2:4" x14ac:dyDescent="0.2">
      <c r="B48" s="128" t="s">
        <v>460</v>
      </c>
      <c r="C48" s="129">
        <v>580</v>
      </c>
      <c r="D48" s="131">
        <v>24.5222653492897</v>
      </c>
    </row>
    <row r="49" spans="2:4" x14ac:dyDescent="0.2">
      <c r="B49" s="128" t="s">
        <v>461</v>
      </c>
      <c r="C49" s="129">
        <v>550</v>
      </c>
      <c r="D49" s="131">
        <v>24.960255247796979</v>
      </c>
    </row>
    <row r="50" spans="2:4" x14ac:dyDescent="0.2">
      <c r="B50" s="128" t="s">
        <v>462</v>
      </c>
      <c r="C50" s="129">
        <v>390</v>
      </c>
      <c r="D50" s="131">
        <v>27.990783149597132</v>
      </c>
    </row>
    <row r="51" spans="2:4" x14ac:dyDescent="0.2">
      <c r="B51" s="128" t="s">
        <v>463</v>
      </c>
      <c r="C51" s="129">
        <v>500</v>
      </c>
      <c r="D51" s="131">
        <v>25.765975169016254</v>
      </c>
    </row>
    <row r="52" spans="2:4" x14ac:dyDescent="0.2">
      <c r="B52" s="128" t="s">
        <v>464</v>
      </c>
      <c r="C52" s="129">
        <v>460</v>
      </c>
      <c r="D52" s="131">
        <v>26.492156268324525</v>
      </c>
    </row>
    <row r="53" spans="2:4" x14ac:dyDescent="0.2">
      <c r="B53" s="128" t="s">
        <v>465</v>
      </c>
      <c r="C53" s="129">
        <v>540</v>
      </c>
      <c r="D53" s="131">
        <v>25.113389478851925</v>
      </c>
    </row>
    <row r="54" spans="2:4" x14ac:dyDescent="0.2">
      <c r="B54" s="128" t="s">
        <v>466</v>
      </c>
      <c r="C54" s="129">
        <v>460</v>
      </c>
      <c r="D54" s="131">
        <v>26.492156268324525</v>
      </c>
    </row>
    <row r="55" spans="2:4" x14ac:dyDescent="0.2">
      <c r="B55" s="128" t="s">
        <v>467</v>
      </c>
      <c r="C55" s="129">
        <v>520</v>
      </c>
      <c r="D55" s="131">
        <v>25.43131423531592</v>
      </c>
    </row>
  </sheetData>
  <printOptions horizontalCentered="1" verticalCentered="1" headings="1" gridLines="1"/>
  <pageMargins left="0.5" right="0.5" top="0.5" bottom="0.5" header="0.25" footer="0.25"/>
  <pageSetup scale="73" orientation="landscape" cellComments="asDisplayed" horizontalDpi="300" verticalDpi="300" r:id="rId1"/>
  <headerFooter alignWithMargins="0">
    <oddHeader>&amp;F</oddHeader>
    <oddFooter>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Option Button 1">
              <controlPr defaultSize="0" autoFill="0" autoLine="0" autoPict="0">
                <anchor moveWithCells="1" sizeWithCells="1">
                  <from>
                    <xdr:col>1</xdr:col>
                    <xdr:colOff>1162050</xdr:colOff>
                    <xdr:row>12</xdr:row>
                    <xdr:rowOff>28575</xdr:rowOff>
                  </from>
                  <to>
                    <xdr:col>2</xdr:col>
                    <xdr:colOff>104775</xdr:colOff>
                    <xdr:row>13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Option Button 2">
              <controlPr defaultSize="0" autoFill="0" autoLine="0" autoPict="0">
                <anchor moveWithCells="1" sizeWithCells="1">
                  <from>
                    <xdr:col>1</xdr:col>
                    <xdr:colOff>1162050</xdr:colOff>
                    <xdr:row>14</xdr:row>
                    <xdr:rowOff>0</xdr:rowOff>
                  </from>
                  <to>
                    <xdr:col>2</xdr:col>
                    <xdr:colOff>104775</xdr:colOff>
                    <xdr:row>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Option Button 3">
              <controlPr defaultSize="0" autoFill="0" autoLine="0" autoPict="0">
                <anchor moveWithCells="1" sizeWithCells="1">
                  <from>
                    <xdr:col>1</xdr:col>
                    <xdr:colOff>1162050</xdr:colOff>
                    <xdr:row>15</xdr:row>
                    <xdr:rowOff>152400</xdr:rowOff>
                  </from>
                  <to>
                    <xdr:col>2</xdr:col>
                    <xdr:colOff>104775</xdr:colOff>
                    <xdr:row>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Group Box 4">
              <controlPr defaultSize="0" autoFill="0" autoPict="0">
                <anchor moveWithCells="1" sizeWithCells="1">
                  <from>
                    <xdr:col>1</xdr:col>
                    <xdr:colOff>933450</xdr:colOff>
                    <xdr:row>11</xdr:row>
                    <xdr:rowOff>76200</xdr:rowOff>
                  </from>
                  <to>
                    <xdr:col>2</xdr:col>
                    <xdr:colOff>419100</xdr:colOff>
                    <xdr:row>17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27C7A-F199-4806-B65E-CEF6F79B720A}">
  <sheetPr>
    <pageSetUpPr fitToPage="1"/>
  </sheetPr>
  <dimension ref="A1:L52"/>
  <sheetViews>
    <sheetView zoomScale="130" zoomScaleNormal="130" workbookViewId="0">
      <selection activeCell="D14" sqref="D14"/>
    </sheetView>
  </sheetViews>
  <sheetFormatPr defaultRowHeight="15" x14ac:dyDescent="0.2"/>
  <cols>
    <col min="1" max="1" width="9.140625" style="229"/>
    <col min="2" max="2" width="29.7109375" style="229" customWidth="1"/>
    <col min="3" max="4" width="9.140625" style="229"/>
    <col min="5" max="5" width="31.7109375" style="229" customWidth="1"/>
    <col min="6" max="16384" width="9.140625" style="229"/>
  </cols>
  <sheetData>
    <row r="1" spans="1:5" x14ac:dyDescent="0.2">
      <c r="B1" s="230" t="s">
        <v>893</v>
      </c>
      <c r="C1" s="229" t="s">
        <v>894</v>
      </c>
    </row>
    <row r="2" spans="1:5" x14ac:dyDescent="0.2">
      <c r="B2" s="230" t="s">
        <v>895</v>
      </c>
      <c r="C2" s="229" t="s">
        <v>896</v>
      </c>
    </row>
    <row r="4" spans="1:5" x14ac:dyDescent="0.2">
      <c r="A4" s="231" t="s">
        <v>652</v>
      </c>
      <c r="B4" s="231" t="s">
        <v>398</v>
      </c>
      <c r="C4" s="231" t="s">
        <v>399</v>
      </c>
      <c r="D4" s="231" t="s">
        <v>400</v>
      </c>
      <c r="E4" s="231" t="s">
        <v>401</v>
      </c>
    </row>
    <row r="6" spans="1:5" ht="15.75" x14ac:dyDescent="0.25">
      <c r="A6" s="232" t="s">
        <v>376</v>
      </c>
      <c r="B6" s="233"/>
      <c r="C6" s="233"/>
      <c r="D6" s="233"/>
      <c r="E6" s="233"/>
    </row>
    <row r="19" spans="1:12" ht="15.75" x14ac:dyDescent="0.25">
      <c r="A19" s="234" t="s">
        <v>897</v>
      </c>
      <c r="B19" s="235"/>
      <c r="C19" s="235"/>
      <c r="D19" s="235"/>
      <c r="E19" s="235"/>
    </row>
    <row r="27" spans="1:12" ht="15.75" x14ac:dyDescent="0.25">
      <c r="A27" s="236" t="s">
        <v>393</v>
      </c>
      <c r="B27" s="237"/>
      <c r="C27" s="237"/>
      <c r="D27" s="237"/>
      <c r="E27" s="237"/>
    </row>
    <row r="28" spans="1:12" ht="15.75" x14ac:dyDescent="0.25">
      <c r="H28" s="239" t="s">
        <v>900</v>
      </c>
    </row>
    <row r="29" spans="1:12" x14ac:dyDescent="0.2">
      <c r="H29" s="107"/>
      <c r="I29" s="107"/>
      <c r="J29" s="250" t="s">
        <v>385</v>
      </c>
      <c r="K29" s="250"/>
      <c r="L29" s="250"/>
    </row>
    <row r="30" spans="1:12" x14ac:dyDescent="0.2">
      <c r="H30" s="107"/>
      <c r="I30" s="107"/>
      <c r="J30" s="227" t="s">
        <v>386</v>
      </c>
      <c r="K30" s="227" t="s">
        <v>387</v>
      </c>
      <c r="L30" s="227" t="s">
        <v>379</v>
      </c>
    </row>
    <row r="31" spans="1:12" x14ac:dyDescent="0.2">
      <c r="H31" s="238" t="s">
        <v>388</v>
      </c>
      <c r="I31" s="107"/>
      <c r="J31" s="227">
        <v>1</v>
      </c>
      <c r="K31" s="227">
        <v>2</v>
      </c>
      <c r="L31" s="227">
        <v>3</v>
      </c>
    </row>
    <row r="32" spans="1:12" x14ac:dyDescent="0.2">
      <c r="H32" s="238" t="s">
        <v>389</v>
      </c>
      <c r="I32" s="227">
        <v>1</v>
      </c>
      <c r="J32" s="107">
        <v>45</v>
      </c>
      <c r="K32" s="107">
        <v>60</v>
      </c>
      <c r="L32" s="107">
        <v>30</v>
      </c>
    </row>
    <row r="33" spans="5:12" x14ac:dyDescent="0.2">
      <c r="H33" s="238" t="s">
        <v>390</v>
      </c>
      <c r="I33" s="227">
        <v>2</v>
      </c>
      <c r="J33" s="107">
        <v>45</v>
      </c>
      <c r="K33" s="107">
        <v>60</v>
      </c>
      <c r="L33" s="107">
        <v>35</v>
      </c>
    </row>
    <row r="34" spans="5:12" x14ac:dyDescent="0.2">
      <c r="H34" s="238" t="s">
        <v>392</v>
      </c>
      <c r="I34" s="227">
        <v>3</v>
      </c>
      <c r="J34" s="107">
        <v>40</v>
      </c>
      <c r="K34" s="107">
        <v>55</v>
      </c>
      <c r="L34" s="107">
        <v>25</v>
      </c>
    </row>
    <row r="35" spans="5:12" x14ac:dyDescent="0.2">
      <c r="E35" s="229" t="s">
        <v>898</v>
      </c>
    </row>
    <row r="45" spans="5:12" ht="15.75" x14ac:dyDescent="0.25">
      <c r="H45" s="106" t="s">
        <v>901</v>
      </c>
      <c r="I45" s="105"/>
      <c r="J45" s="105"/>
    </row>
    <row r="46" spans="5:12" ht="15.75" x14ac:dyDescent="0.25">
      <c r="H46" s="103" t="s">
        <v>378</v>
      </c>
      <c r="I46" s="104"/>
      <c r="J46" s="104"/>
    </row>
    <row r="47" spans="5:12" x14ac:dyDescent="0.2">
      <c r="H47" s="104"/>
      <c r="I47" s="104"/>
      <c r="J47" s="104"/>
    </row>
    <row r="48" spans="5:12" x14ac:dyDescent="0.2">
      <c r="H48" s="104"/>
      <c r="I48" s="104" t="s">
        <v>379</v>
      </c>
      <c r="J48" s="104" t="s">
        <v>380</v>
      </c>
    </row>
    <row r="49" spans="8:10" x14ac:dyDescent="0.2">
      <c r="H49" s="104" t="s">
        <v>381</v>
      </c>
      <c r="I49" s="104"/>
      <c r="J49" s="104"/>
    </row>
    <row r="50" spans="8:10" x14ac:dyDescent="0.2">
      <c r="H50" s="104">
        <v>4</v>
      </c>
      <c r="I50" s="104">
        <v>160</v>
      </c>
      <c r="J50" s="104">
        <v>140</v>
      </c>
    </row>
    <row r="51" spans="8:10" x14ac:dyDescent="0.2">
      <c r="H51" s="104">
        <v>5</v>
      </c>
      <c r="I51" s="104">
        <v>135</v>
      </c>
      <c r="J51" s="104">
        <v>115</v>
      </c>
    </row>
    <row r="52" spans="8:10" x14ac:dyDescent="0.2">
      <c r="H52" s="104">
        <v>6</v>
      </c>
      <c r="I52" s="104">
        <v>110</v>
      </c>
      <c r="J52" s="104">
        <v>95</v>
      </c>
    </row>
  </sheetData>
  <mergeCells count="1">
    <mergeCell ref="J29:L29"/>
  </mergeCells>
  <printOptions horizontalCentered="1" gridLines="1"/>
  <pageMargins left="0.7" right="0.7" top="0.75" bottom="0.75" header="0.3" footer="0.3"/>
  <pageSetup orientation="portrait" r:id="rId1"/>
  <headerFooter>
    <oddHeader>&amp;F</oddHeader>
    <oddFooter>&amp;A</oddFooter>
  </headerFooter>
  <drawing r:id="rId2"/>
  <legacyDrawing r:id="rId3"/>
  <oleObjects>
    <mc:AlternateContent xmlns:mc="http://schemas.openxmlformats.org/markup-compatibility/2006">
      <mc:Choice Requires="x14">
        <oleObject progId="Packager Shell Object" shapeId="19466" r:id="rId4">
          <objectPr defaultSize="0" autoPict="0" r:id="rId5">
            <anchor moveWithCells="1">
              <from>
                <xdr:col>14</xdr:col>
                <xdr:colOff>238125</xdr:colOff>
                <xdr:row>35</xdr:row>
                <xdr:rowOff>0</xdr:rowOff>
              </from>
              <to>
                <xdr:col>15</xdr:col>
                <xdr:colOff>361950</xdr:colOff>
                <xdr:row>37</xdr:row>
                <xdr:rowOff>180975</xdr:rowOff>
              </to>
            </anchor>
          </objectPr>
        </oleObject>
      </mc:Choice>
      <mc:Fallback>
        <oleObject progId="Packager Shell Object" shapeId="19466" r:id="rId4"/>
      </mc:Fallback>
    </mc:AlternateContent>
    <mc:AlternateContent xmlns:mc="http://schemas.openxmlformats.org/markup-compatibility/2006">
      <mc:Choice Requires="x14">
        <oleObject progId="Packager Shell Object" shapeId="19467" r:id="rId6">
          <objectPr defaultSize="0" r:id="rId7">
            <anchor moveWithCells="1">
              <from>
                <xdr:col>14</xdr:col>
                <xdr:colOff>238125</xdr:colOff>
                <xdr:row>38</xdr:row>
                <xdr:rowOff>57150</xdr:rowOff>
              </from>
              <to>
                <xdr:col>15</xdr:col>
                <xdr:colOff>495300</xdr:colOff>
                <xdr:row>41</xdr:row>
                <xdr:rowOff>0</xdr:rowOff>
              </to>
            </anchor>
          </objectPr>
        </oleObject>
      </mc:Choice>
      <mc:Fallback>
        <oleObject progId="Packager Shell Object" shapeId="19467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92BC7-42C5-47C3-A9F9-9533B03C5A65}">
  <sheetPr>
    <pageSetUpPr fitToPage="1"/>
  </sheetPr>
  <dimension ref="A1:L47"/>
  <sheetViews>
    <sheetView zoomScale="154" zoomScaleNormal="154" workbookViewId="0">
      <selection activeCell="E10" sqref="E10"/>
    </sheetView>
  </sheetViews>
  <sheetFormatPr defaultRowHeight="15" x14ac:dyDescent="0.2"/>
  <cols>
    <col min="1" max="1" width="9.140625" style="229"/>
    <col min="2" max="2" width="29.7109375" style="229" customWidth="1"/>
    <col min="3" max="3" width="10.42578125" style="229" bestFit="1" customWidth="1"/>
    <col min="4" max="4" width="9.140625" style="229"/>
    <col min="5" max="5" width="53" style="229" bestFit="1" customWidth="1"/>
    <col min="6" max="16384" width="9.140625" style="229"/>
  </cols>
  <sheetData>
    <row r="1" spans="1:5" x14ac:dyDescent="0.2">
      <c r="B1" s="230" t="s">
        <v>893</v>
      </c>
      <c r="C1" s="229" t="s">
        <v>923</v>
      </c>
    </row>
    <row r="2" spans="1:5" x14ac:dyDescent="0.2">
      <c r="B2" s="230" t="s">
        <v>895</v>
      </c>
      <c r="C2" s="229" t="s">
        <v>922</v>
      </c>
    </row>
    <row r="4" spans="1:5" x14ac:dyDescent="0.2">
      <c r="A4" s="231" t="s">
        <v>652</v>
      </c>
      <c r="B4" s="231" t="s">
        <v>398</v>
      </c>
      <c r="C4" s="231" t="s">
        <v>399</v>
      </c>
      <c r="D4" s="231" t="s">
        <v>400</v>
      </c>
      <c r="E4" s="231" t="s">
        <v>401</v>
      </c>
    </row>
    <row r="6" spans="1:5" ht="15.75" x14ac:dyDescent="0.25">
      <c r="A6" s="232" t="s">
        <v>376</v>
      </c>
      <c r="B6" s="233"/>
      <c r="C6" s="233"/>
      <c r="D6" s="233"/>
      <c r="E6" s="233"/>
    </row>
    <row r="12" spans="1:5" x14ac:dyDescent="0.2">
      <c r="A12" s="229" t="s">
        <v>902</v>
      </c>
      <c r="B12" s="229" t="s">
        <v>903</v>
      </c>
      <c r="C12" s="243">
        <v>3</v>
      </c>
    </row>
    <row r="13" spans="1:5" x14ac:dyDescent="0.2">
      <c r="A13" s="229" t="s">
        <v>904</v>
      </c>
      <c r="B13" s="229" t="s">
        <v>905</v>
      </c>
      <c r="C13" s="243">
        <v>3</v>
      </c>
    </row>
    <row r="14" spans="1:5" ht="15.75" x14ac:dyDescent="0.25">
      <c r="A14" s="229" t="s">
        <v>417</v>
      </c>
      <c r="B14" s="229" t="s">
        <v>906</v>
      </c>
      <c r="C14" s="244">
        <v>4.5</v>
      </c>
      <c r="D14" s="229" t="s">
        <v>384</v>
      </c>
    </row>
    <row r="15" spans="1:5" ht="15.75" x14ac:dyDescent="0.25">
      <c r="A15" s="229" t="s">
        <v>683</v>
      </c>
      <c r="B15" s="229" t="s">
        <v>907</v>
      </c>
      <c r="C15" s="244">
        <v>50</v>
      </c>
      <c r="D15" s="229" t="s">
        <v>382</v>
      </c>
    </row>
    <row r="17" spans="1:12" ht="15.75" x14ac:dyDescent="0.25">
      <c r="A17" s="234" t="s">
        <v>897</v>
      </c>
      <c r="B17" s="235"/>
      <c r="C17" s="235"/>
      <c r="D17" s="235"/>
      <c r="E17" s="235"/>
    </row>
    <row r="18" spans="1:12" x14ac:dyDescent="0.2">
      <c r="A18" s="229" t="s">
        <v>908</v>
      </c>
      <c r="B18" s="229" t="s">
        <v>909</v>
      </c>
      <c r="C18" s="240">
        <f>MIN(160,IF(tt=3,-25*S+260,-22.5*S+229))</f>
        <v>147.5</v>
      </c>
      <c r="D18" s="229" t="s">
        <v>899</v>
      </c>
      <c r="E18" s="241" t="s">
        <v>918</v>
      </c>
    </row>
    <row r="19" spans="1:12" x14ac:dyDescent="0.2">
      <c r="A19" s="229" t="s">
        <v>910</v>
      </c>
      <c r="B19" s="229" t="s">
        <v>911</v>
      </c>
      <c r="C19" s="240">
        <f>wpr*P</f>
        <v>7375</v>
      </c>
      <c r="D19" s="229" t="s">
        <v>394</v>
      </c>
      <c r="E19" s="242" t="s">
        <v>919</v>
      </c>
    </row>
    <row r="20" spans="1:12" x14ac:dyDescent="0.2">
      <c r="A20" s="229" t="s">
        <v>912</v>
      </c>
      <c r="B20" s="229" t="s">
        <v>913</v>
      </c>
      <c r="C20" s="229">
        <f>VLOOKUP(imt,goodtable,tt+1,FALSE)</f>
        <v>25</v>
      </c>
      <c r="D20" s="229" t="s">
        <v>391</v>
      </c>
      <c r="E20" s="242" t="s">
        <v>924</v>
      </c>
    </row>
    <row r="22" spans="1:12" ht="15.75" x14ac:dyDescent="0.25">
      <c r="A22" s="236" t="s">
        <v>393</v>
      </c>
      <c r="B22" s="237"/>
      <c r="C22" s="237"/>
      <c r="D22" s="237"/>
      <c r="E22" s="237"/>
    </row>
    <row r="23" spans="1:12" ht="15.75" x14ac:dyDescent="0.25">
      <c r="A23" s="229" t="s">
        <v>914</v>
      </c>
      <c r="B23" s="239" t="s">
        <v>915</v>
      </c>
      <c r="C23" s="239">
        <f>MROUND(ttw*tfp/100,50)</f>
        <v>1850</v>
      </c>
      <c r="D23" s="239" t="s">
        <v>394</v>
      </c>
      <c r="E23" s="242" t="s">
        <v>920</v>
      </c>
      <c r="H23" s="239" t="s">
        <v>900</v>
      </c>
    </row>
    <row r="24" spans="1:12" ht="15.75" x14ac:dyDescent="0.25">
      <c r="A24" s="229" t="s">
        <v>916</v>
      </c>
      <c r="B24" s="239" t="s">
        <v>917</v>
      </c>
      <c r="C24" s="239">
        <f>MROUND(ttw-tfa,50)</f>
        <v>5550</v>
      </c>
      <c r="D24" s="239" t="s">
        <v>394</v>
      </c>
      <c r="E24" s="242" t="s">
        <v>921</v>
      </c>
      <c r="H24" s="107"/>
      <c r="I24" s="107"/>
      <c r="J24" s="250" t="s">
        <v>385</v>
      </c>
      <c r="K24" s="250"/>
      <c r="L24" s="250"/>
    </row>
    <row r="25" spans="1:12" x14ac:dyDescent="0.2">
      <c r="H25" s="107"/>
      <c r="I25" s="107"/>
      <c r="J25" s="227" t="s">
        <v>386</v>
      </c>
      <c r="K25" s="227" t="s">
        <v>387</v>
      </c>
      <c r="L25" s="227" t="s">
        <v>379</v>
      </c>
    </row>
    <row r="26" spans="1:12" x14ac:dyDescent="0.2">
      <c r="H26" s="238" t="s">
        <v>388</v>
      </c>
      <c r="I26" s="107"/>
      <c r="J26" s="227">
        <v>1</v>
      </c>
      <c r="K26" s="227">
        <v>2</v>
      </c>
      <c r="L26" s="227">
        <v>3</v>
      </c>
    </row>
    <row r="27" spans="1:12" x14ac:dyDescent="0.2">
      <c r="H27" s="238" t="s">
        <v>389</v>
      </c>
      <c r="I27" s="227">
        <v>1</v>
      </c>
      <c r="J27" s="107">
        <v>45</v>
      </c>
      <c r="K27" s="107">
        <v>60</v>
      </c>
      <c r="L27" s="107">
        <v>30</v>
      </c>
    </row>
    <row r="28" spans="1:12" x14ac:dyDescent="0.2">
      <c r="H28" s="238" t="s">
        <v>390</v>
      </c>
      <c r="I28" s="227">
        <v>2</v>
      </c>
      <c r="J28" s="107">
        <v>45</v>
      </c>
      <c r="K28" s="107">
        <v>60</v>
      </c>
      <c r="L28" s="107">
        <v>35</v>
      </c>
    </row>
    <row r="29" spans="1:12" x14ac:dyDescent="0.2">
      <c r="H29" s="238" t="s">
        <v>392</v>
      </c>
      <c r="I29" s="227">
        <v>3</v>
      </c>
      <c r="J29" s="107">
        <v>40</v>
      </c>
      <c r="K29" s="107">
        <v>55</v>
      </c>
      <c r="L29" s="107">
        <v>25</v>
      </c>
    </row>
    <row r="30" spans="1:12" x14ac:dyDescent="0.2">
      <c r="E30" s="229" t="s">
        <v>898</v>
      </c>
    </row>
    <row r="40" spans="8:10" ht="15.75" x14ac:dyDescent="0.25">
      <c r="H40" s="106" t="s">
        <v>901</v>
      </c>
      <c r="I40" s="105"/>
      <c r="J40" s="105"/>
    </row>
    <row r="41" spans="8:10" ht="15.75" x14ac:dyDescent="0.25">
      <c r="H41" s="103" t="s">
        <v>378</v>
      </c>
      <c r="I41" s="104"/>
      <c r="J41" s="104"/>
    </row>
    <row r="42" spans="8:10" x14ac:dyDescent="0.2">
      <c r="H42" s="104"/>
      <c r="I42" s="104"/>
      <c r="J42" s="104"/>
    </row>
    <row r="43" spans="8:10" x14ac:dyDescent="0.2">
      <c r="H43" s="104"/>
      <c r="I43" s="104" t="s">
        <v>379</v>
      </c>
      <c r="J43" s="104" t="s">
        <v>380</v>
      </c>
    </row>
    <row r="44" spans="8:10" x14ac:dyDescent="0.2">
      <c r="H44" s="104" t="s">
        <v>381</v>
      </c>
      <c r="I44" s="104"/>
      <c r="J44" s="104"/>
    </row>
    <row r="45" spans="8:10" x14ac:dyDescent="0.2">
      <c r="H45" s="104">
        <v>4</v>
      </c>
      <c r="I45" s="104">
        <v>160</v>
      </c>
      <c r="J45" s="104">
        <v>140</v>
      </c>
    </row>
    <row r="46" spans="8:10" x14ac:dyDescent="0.2">
      <c r="H46" s="104">
        <v>5</v>
      </c>
      <c r="I46" s="104">
        <v>135</v>
      </c>
      <c r="J46" s="104">
        <v>115</v>
      </c>
    </row>
    <row r="47" spans="8:10" x14ac:dyDescent="0.2">
      <c r="H47" s="104">
        <v>6</v>
      </c>
      <c r="I47" s="104">
        <v>110</v>
      </c>
      <c r="J47" s="104">
        <v>95</v>
      </c>
    </row>
  </sheetData>
  <sheetProtection sheet="1" objects="1" scenarios="1"/>
  <mergeCells count="1">
    <mergeCell ref="J24:L24"/>
  </mergeCells>
  <dataValidations disablePrompts="1" count="2">
    <dataValidation type="decimal" allowBlank="1" showInputMessage="1" showErrorMessage="1" error="please retry with a speed between 2.5 and 10 mph" promptTitle="travel speed" prompt="Valid values are 2.5 to 10 mph" sqref="C14" xr:uid="{72E666A4-8846-4B4F-BFC2-B8A84FAC5104}">
      <formula1>2.5</formula1>
      <formula2>10</formula2>
    </dataValidation>
    <dataValidation type="whole" allowBlank="1" showInputMessage="1" showErrorMessage="1" error="please retry with an integer from 40 to 500_x000a_" promptTitle="Tractor power" prompt="Enter the PTO equivalent power as an integer between 40 and 500 hp." sqref="C15" xr:uid="{F1A68C2E-B44C-4097-A3A3-94B58B7BCE99}">
      <formula1>40</formula1>
      <formula2>500</formula2>
    </dataValidation>
  </dataValidations>
  <printOptions horizontalCentered="1" gridLines="1"/>
  <pageMargins left="0.7" right="0.7" top="0.75" bottom="0.75" header="0.3" footer="0.3"/>
  <pageSetup orientation="portrait" r:id="rId1"/>
  <headerFooter>
    <oddHeader>&amp;F</oddHeader>
    <oddFooter>&amp;A</oddFooter>
  </headerFooter>
  <drawing r:id="rId2"/>
  <legacyDrawing r:id="rId3"/>
  <oleObjects>
    <mc:AlternateContent xmlns:mc="http://schemas.openxmlformats.org/markup-compatibility/2006">
      <mc:Choice Requires="x14">
        <oleObject progId="Packager Shell Object" shapeId="23553" r:id="rId4">
          <objectPr defaultSize="0" autoPict="0" r:id="rId5">
            <anchor moveWithCells="1">
              <from>
                <xdr:col>14</xdr:col>
                <xdr:colOff>238125</xdr:colOff>
                <xdr:row>30</xdr:row>
                <xdr:rowOff>0</xdr:rowOff>
              </from>
              <to>
                <xdr:col>15</xdr:col>
                <xdr:colOff>361950</xdr:colOff>
                <xdr:row>32</xdr:row>
                <xdr:rowOff>180975</xdr:rowOff>
              </to>
            </anchor>
          </objectPr>
        </oleObject>
      </mc:Choice>
      <mc:Fallback>
        <oleObject progId="Packager Shell Object" shapeId="23553" r:id="rId4"/>
      </mc:Fallback>
    </mc:AlternateContent>
    <mc:AlternateContent xmlns:mc="http://schemas.openxmlformats.org/markup-compatibility/2006">
      <mc:Choice Requires="x14">
        <oleObject progId="Packager Shell Object" shapeId="23554" r:id="rId6">
          <objectPr defaultSize="0" r:id="rId7">
            <anchor moveWithCells="1">
              <from>
                <xdr:col>14</xdr:col>
                <xdr:colOff>238125</xdr:colOff>
                <xdr:row>33</xdr:row>
                <xdr:rowOff>57150</xdr:rowOff>
              </from>
              <to>
                <xdr:col>15</xdr:col>
                <xdr:colOff>495300</xdr:colOff>
                <xdr:row>36</xdr:row>
                <xdr:rowOff>0</xdr:rowOff>
              </to>
            </anchor>
          </objectPr>
        </oleObject>
      </mc:Choice>
      <mc:Fallback>
        <oleObject progId="Packager Shell Object" shapeId="23554" r:id="rId6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4" r:id="rId8" name="Option Button 12">
              <controlPr defaultSize="0" autoFill="0" autoLine="0" autoPict="0">
                <anchor moveWithCells="1">
                  <from>
                    <xdr:col>1</xdr:col>
                    <xdr:colOff>609600</xdr:colOff>
                    <xdr:row>6</xdr:row>
                    <xdr:rowOff>76200</xdr:rowOff>
                  </from>
                  <to>
                    <xdr:col>2</xdr:col>
                    <xdr:colOff>123825</xdr:colOff>
                    <xdr:row>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5" r:id="rId9" name="Option Button 13">
              <controlPr defaultSize="0" autoFill="0" autoLine="0" autoPict="0">
                <anchor moveWithCells="1">
                  <from>
                    <xdr:col>1</xdr:col>
                    <xdr:colOff>609600</xdr:colOff>
                    <xdr:row>7</xdr:row>
                    <xdr:rowOff>142875</xdr:rowOff>
                  </from>
                  <to>
                    <xdr:col>2</xdr:col>
                    <xdr:colOff>114300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6" r:id="rId10" name="Option Button 14">
              <controlPr defaultSize="0" autoFill="0" autoLine="0" autoPict="0">
                <anchor moveWithCells="1">
                  <from>
                    <xdr:col>1</xdr:col>
                    <xdr:colOff>609600</xdr:colOff>
                    <xdr:row>9</xdr:row>
                    <xdr:rowOff>38100</xdr:rowOff>
                  </from>
                  <to>
                    <xdr:col>2</xdr:col>
                    <xdr:colOff>152400</xdr:colOff>
                    <xdr:row>10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7" r:id="rId11" name="Group Box 15">
              <controlPr defaultSize="0" autoFill="0" autoPict="0">
                <anchor moveWithCells="1">
                  <from>
                    <xdr:col>1</xdr:col>
                    <xdr:colOff>504825</xdr:colOff>
                    <xdr:row>5</xdr:row>
                    <xdr:rowOff>171450</xdr:rowOff>
                  </from>
                  <to>
                    <xdr:col>2</xdr:col>
                    <xdr:colOff>447675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8" r:id="rId12" name="Option Button 16">
              <controlPr defaultSize="0" autoFill="0" autoLine="0" autoPict="0">
                <anchor moveWithCells="1">
                  <from>
                    <xdr:col>3</xdr:col>
                    <xdr:colOff>428625</xdr:colOff>
                    <xdr:row>6</xdr:row>
                    <xdr:rowOff>66675</xdr:rowOff>
                  </from>
                  <to>
                    <xdr:col>4</xdr:col>
                    <xdr:colOff>1143000</xdr:colOff>
                    <xdr:row>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9" r:id="rId13" name="Option Button 17">
              <controlPr defaultSize="0" autoFill="0" autoLine="0" autoPict="0">
                <anchor moveWithCells="1">
                  <from>
                    <xdr:col>3</xdr:col>
                    <xdr:colOff>428625</xdr:colOff>
                    <xdr:row>7</xdr:row>
                    <xdr:rowOff>123825</xdr:rowOff>
                  </from>
                  <to>
                    <xdr:col>4</xdr:col>
                    <xdr:colOff>1143000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0" r:id="rId14" name="Option Button 18">
              <controlPr defaultSize="0" autoFill="0" autoLine="0" autoPict="0">
                <anchor moveWithCells="1">
                  <from>
                    <xdr:col>3</xdr:col>
                    <xdr:colOff>428625</xdr:colOff>
                    <xdr:row>8</xdr:row>
                    <xdr:rowOff>171450</xdr:rowOff>
                  </from>
                  <to>
                    <xdr:col>4</xdr:col>
                    <xdr:colOff>1143000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1" r:id="rId15" name="Group Box 19">
              <controlPr defaultSize="0" autoFill="0" autoPict="0">
                <anchor moveWithCells="1">
                  <from>
                    <xdr:col>3</xdr:col>
                    <xdr:colOff>228600</xdr:colOff>
                    <xdr:row>5</xdr:row>
                    <xdr:rowOff>180975</xdr:rowOff>
                  </from>
                  <to>
                    <xdr:col>4</xdr:col>
                    <xdr:colOff>1647825</xdr:colOff>
                    <xdr:row>11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A0F11-99D2-40B7-851A-295FED4B0D30}">
  <sheetPr>
    <pageSetUpPr fitToPage="1"/>
  </sheetPr>
  <dimension ref="A1:L89"/>
  <sheetViews>
    <sheetView zoomScale="130" zoomScaleNormal="130" workbookViewId="0">
      <selection activeCell="B1" sqref="B1"/>
    </sheetView>
  </sheetViews>
  <sheetFormatPr defaultRowHeight="12.75" x14ac:dyDescent="0.2"/>
  <cols>
    <col min="1" max="1" width="7.7109375" style="109" customWidth="1"/>
    <col min="2" max="2" width="31.42578125" style="109" customWidth="1"/>
    <col min="3" max="3" width="11.28515625" style="109" customWidth="1"/>
    <col min="4" max="4" width="9.140625" style="109"/>
    <col min="5" max="5" width="40.85546875" style="109" customWidth="1"/>
    <col min="6" max="16384" width="9.140625" style="109"/>
  </cols>
  <sheetData>
    <row r="1" spans="1:12" x14ac:dyDescent="0.2">
      <c r="A1" s="108" t="s">
        <v>468</v>
      </c>
    </row>
    <row r="2" spans="1:12" x14ac:dyDescent="0.2">
      <c r="A2" s="132" t="s">
        <v>469</v>
      </c>
      <c r="B2" s="109" t="s">
        <v>470</v>
      </c>
      <c r="C2" s="127">
        <v>30</v>
      </c>
      <c r="D2" s="109" t="s">
        <v>471</v>
      </c>
      <c r="E2" s="109" t="s">
        <v>472</v>
      </c>
      <c r="F2" s="109" t="s">
        <v>473</v>
      </c>
    </row>
    <row r="3" spans="1:12" x14ac:dyDescent="0.2">
      <c r="A3" s="132" t="s">
        <v>474</v>
      </c>
      <c r="B3" s="109" t="s">
        <v>475</v>
      </c>
      <c r="C3" s="109">
        <v>30</v>
      </c>
      <c r="D3" s="109" t="s">
        <v>476</v>
      </c>
      <c r="F3" s="109" t="s">
        <v>477</v>
      </c>
    </row>
    <row r="4" spans="1:12" x14ac:dyDescent="0.2">
      <c r="A4" s="132" t="s">
        <v>478</v>
      </c>
      <c r="B4" s="109" t="s">
        <v>479</v>
      </c>
      <c r="C4" s="109">
        <v>1000</v>
      </c>
      <c r="D4" s="109" t="s">
        <v>480</v>
      </c>
      <c r="E4" s="109" t="s">
        <v>481</v>
      </c>
      <c r="F4" s="109" t="s">
        <v>469</v>
      </c>
      <c r="G4" s="109" t="s">
        <v>478</v>
      </c>
    </row>
    <row r="5" spans="1:12" x14ac:dyDescent="0.2">
      <c r="A5" s="132" t="s">
        <v>482</v>
      </c>
      <c r="B5" s="109" t="s">
        <v>483</v>
      </c>
      <c r="C5" s="109">
        <v>0.3</v>
      </c>
      <c r="D5" s="109" t="s">
        <v>30</v>
      </c>
      <c r="E5" s="109" t="s">
        <v>481</v>
      </c>
      <c r="F5" s="117">
        <f>C62</f>
        <v>3.5490183251242495</v>
      </c>
      <c r="G5" s="117">
        <v>300</v>
      </c>
      <c r="H5" s="117">
        <f>G5+300</f>
        <v>600</v>
      </c>
      <c r="I5" s="117">
        <f>H5+300</f>
        <v>900</v>
      </c>
      <c r="J5" s="117">
        <f>I5+300</f>
        <v>1200</v>
      </c>
      <c r="K5" s="117">
        <f>J5+300</f>
        <v>1500</v>
      </c>
      <c r="L5" s="117"/>
    </row>
    <row r="6" spans="1:12" x14ac:dyDescent="0.2">
      <c r="A6" s="141" t="s">
        <v>484</v>
      </c>
      <c r="B6" s="141" t="s">
        <v>485</v>
      </c>
      <c r="C6" s="141">
        <v>10</v>
      </c>
      <c r="D6" s="141" t="s">
        <v>486</v>
      </c>
      <c r="E6" s="142" t="s">
        <v>481</v>
      </c>
      <c r="F6" s="109">
        <v>15</v>
      </c>
      <c r="G6" s="134">
        <f t="dataTable" ref="G6:K15" dt2D="1" dtr="0" r1="C4" r2="C2"/>
        <v>5.0720952482011734</v>
      </c>
      <c r="H6" s="117">
        <v>6.4304868565927844</v>
      </c>
      <c r="I6" s="117">
        <v>31.479228115334053</v>
      </c>
      <c r="J6" s="117">
        <v>70.302060283166227</v>
      </c>
      <c r="K6" s="117">
        <v>114.63452881463478</v>
      </c>
    </row>
    <row r="7" spans="1:12" x14ac:dyDescent="0.2">
      <c r="A7" s="141" t="s">
        <v>487</v>
      </c>
      <c r="B7" s="141" t="s">
        <v>488</v>
      </c>
      <c r="C7" s="141">
        <v>30</v>
      </c>
      <c r="D7" s="141" t="s">
        <v>489</v>
      </c>
      <c r="E7" s="142" t="s">
        <v>490</v>
      </c>
      <c r="F7" s="109">
        <f>F6+5</f>
        <v>20</v>
      </c>
      <c r="G7" s="117">
        <v>4.310556786662711</v>
      </c>
      <c r="H7" s="117">
        <v>4.310556786662711</v>
      </c>
      <c r="I7" s="117">
        <v>9.635451891557814</v>
      </c>
      <c r="J7" s="117">
        <v>30.717689653795574</v>
      </c>
      <c r="K7" s="117">
        <v>59.146109234215167</v>
      </c>
    </row>
    <row r="8" spans="1:12" x14ac:dyDescent="0.2">
      <c r="A8" s="141" t="s">
        <v>417</v>
      </c>
      <c r="B8" s="143" t="s">
        <v>383</v>
      </c>
      <c r="C8" s="141">
        <v>5</v>
      </c>
      <c r="D8" s="141" t="s">
        <v>384</v>
      </c>
      <c r="E8" s="142" t="s">
        <v>491</v>
      </c>
      <c r="F8" s="109">
        <f t="shared" ref="F8:F15" si="0">F7+5</f>
        <v>25</v>
      </c>
      <c r="G8" s="117">
        <v>3.8536337097396349</v>
      </c>
      <c r="H8" s="117">
        <v>3.8536337097396349</v>
      </c>
      <c r="I8" s="117">
        <v>3.8753679754739006</v>
      </c>
      <c r="J8" s="117">
        <v>12.476703639809566</v>
      </c>
      <c r="K8" s="117">
        <v>30.260766576872509</v>
      </c>
    </row>
    <row r="9" spans="1:12" x14ac:dyDescent="0.2">
      <c r="A9" s="141" t="s">
        <v>492</v>
      </c>
      <c r="B9" s="141" t="s">
        <v>493</v>
      </c>
      <c r="C9" s="141">
        <v>0.65</v>
      </c>
      <c r="D9" s="141" t="s">
        <v>30</v>
      </c>
      <c r="E9" s="142" t="s">
        <v>491</v>
      </c>
      <c r="F9" s="109">
        <f t="shared" si="0"/>
        <v>30</v>
      </c>
      <c r="G9" s="117">
        <v>3.54901832512425</v>
      </c>
      <c r="H9" s="134">
        <v>3.54901832512425</v>
      </c>
      <c r="I9" s="117">
        <v>3.5490183251242504</v>
      </c>
      <c r="J9" s="117">
        <v>4.9074099335158614</v>
      </c>
      <c r="K9" s="117">
        <v>14.676962381068316</v>
      </c>
    </row>
    <row r="10" spans="1:12" x14ac:dyDescent="0.2">
      <c r="A10" s="141" t="s">
        <v>377</v>
      </c>
      <c r="B10" s="143" t="s">
        <v>494</v>
      </c>
      <c r="C10" s="141">
        <v>1</v>
      </c>
      <c r="D10" s="141" t="s">
        <v>643</v>
      </c>
      <c r="E10" s="142" t="s">
        <v>644</v>
      </c>
      <c r="F10" s="109">
        <f t="shared" si="0"/>
        <v>35</v>
      </c>
      <c r="G10" s="117">
        <v>3.3314359075418323</v>
      </c>
      <c r="H10" s="117">
        <v>3.3314359075418323</v>
      </c>
      <c r="I10" s="117">
        <v>3.3314359075418318</v>
      </c>
      <c r="J10" s="117">
        <v>3.3314359075418323</v>
      </c>
      <c r="K10" s="117">
        <v>6.694037306143235</v>
      </c>
    </row>
    <row r="11" spans="1:12" x14ac:dyDescent="0.2">
      <c r="A11" s="141" t="s">
        <v>495</v>
      </c>
      <c r="B11" s="141" t="s">
        <v>496</v>
      </c>
      <c r="C11" s="141">
        <v>0.96</v>
      </c>
      <c r="D11" s="141" t="s">
        <v>92</v>
      </c>
      <c r="E11" s="142" t="s">
        <v>645</v>
      </c>
      <c r="F11" s="109">
        <f t="shared" si="0"/>
        <v>40</v>
      </c>
      <c r="G11" s="117">
        <v>3.1682490943550192</v>
      </c>
      <c r="H11" s="117">
        <v>3.1682490943550192</v>
      </c>
      <c r="I11" s="117">
        <v>3.1682490943550188</v>
      </c>
      <c r="J11" s="117">
        <v>3.1682490943550192</v>
      </c>
      <c r="K11" s="117">
        <v>3.4616616817676058</v>
      </c>
    </row>
    <row r="12" spans="1:12" x14ac:dyDescent="0.2">
      <c r="A12" s="141" t="s">
        <v>497</v>
      </c>
      <c r="B12" s="141" t="s">
        <v>498</v>
      </c>
      <c r="C12" s="141">
        <v>410</v>
      </c>
      <c r="D12" s="141" t="s">
        <v>92</v>
      </c>
      <c r="E12" s="142" t="s">
        <v>891</v>
      </c>
      <c r="F12" s="109">
        <f t="shared" si="0"/>
        <v>45</v>
      </c>
      <c r="G12" s="117">
        <v>3.0413260174319428</v>
      </c>
      <c r="H12" s="117">
        <v>3.0413260174319428</v>
      </c>
      <c r="I12" s="117">
        <v>3.0413260174319419</v>
      </c>
      <c r="J12" s="117">
        <v>3.0413260174319428</v>
      </c>
      <c r="K12" s="117">
        <v>3.0413260174319423</v>
      </c>
    </row>
    <row r="13" spans="1:12" x14ac:dyDescent="0.2">
      <c r="A13" s="141" t="s">
        <v>500</v>
      </c>
      <c r="B13" s="141" t="s">
        <v>501</v>
      </c>
      <c r="C13" s="141">
        <v>0</v>
      </c>
      <c r="D13" s="141" t="s">
        <v>92</v>
      </c>
      <c r="E13" s="142" t="s">
        <v>891</v>
      </c>
      <c r="F13" s="109">
        <f t="shared" si="0"/>
        <v>50</v>
      </c>
      <c r="G13" s="117">
        <v>2.939787555893481</v>
      </c>
      <c r="H13" s="117">
        <v>2.939787555893481</v>
      </c>
      <c r="I13" s="134">
        <v>2.939787555893481</v>
      </c>
      <c r="J13" s="117">
        <v>2.939787555893481</v>
      </c>
      <c r="K13" s="117">
        <v>2.9397875558934805</v>
      </c>
    </row>
    <row r="14" spans="1:12" x14ac:dyDescent="0.2">
      <c r="A14" s="141" t="s">
        <v>502</v>
      </c>
      <c r="B14" s="141" t="s">
        <v>503</v>
      </c>
      <c r="C14" s="141">
        <v>0</v>
      </c>
      <c r="D14" s="141" t="s">
        <v>92</v>
      </c>
      <c r="E14" s="142" t="s">
        <v>891</v>
      </c>
      <c r="F14" s="109">
        <f t="shared" si="0"/>
        <v>55</v>
      </c>
      <c r="G14" s="117">
        <v>2.856710632816557</v>
      </c>
      <c r="H14" s="117">
        <v>2.856710632816557</v>
      </c>
      <c r="I14" s="117">
        <v>2.8567106328165575</v>
      </c>
      <c r="J14" s="117">
        <v>2.856710632816557</v>
      </c>
      <c r="K14" s="117">
        <v>2.8567106328165575</v>
      </c>
    </row>
    <row r="15" spans="1:12" x14ac:dyDescent="0.2">
      <c r="A15" s="142" t="s">
        <v>504</v>
      </c>
      <c r="B15" s="142" t="s">
        <v>505</v>
      </c>
      <c r="C15" s="142">
        <v>0.7</v>
      </c>
      <c r="D15" s="142" t="s">
        <v>30</v>
      </c>
      <c r="E15" s="142" t="s">
        <v>646</v>
      </c>
      <c r="F15" s="109">
        <f t="shared" si="0"/>
        <v>60</v>
      </c>
      <c r="G15" s="117">
        <v>2.7874798635857885</v>
      </c>
      <c r="H15" s="117">
        <v>2.7874798635857885</v>
      </c>
      <c r="I15" s="117">
        <v>2.7874798635857885</v>
      </c>
      <c r="J15" s="134">
        <v>2.7874798635857885</v>
      </c>
      <c r="K15" s="134">
        <v>2.7874798635857885</v>
      </c>
    </row>
    <row r="16" spans="1:12" x14ac:dyDescent="0.2">
      <c r="A16" s="109" t="s">
        <v>506</v>
      </c>
      <c r="B16" s="109" t="s">
        <v>507</v>
      </c>
      <c r="C16" s="136">
        <v>0.05</v>
      </c>
      <c r="D16" s="109" t="s">
        <v>508</v>
      </c>
    </row>
    <row r="17" spans="1:7" x14ac:dyDescent="0.2">
      <c r="A17" s="132" t="s">
        <v>509</v>
      </c>
      <c r="B17" s="109" t="s">
        <v>510</v>
      </c>
      <c r="C17" s="109">
        <v>0.32</v>
      </c>
      <c r="D17" s="109" t="s">
        <v>92</v>
      </c>
      <c r="E17" s="109" t="s">
        <v>499</v>
      </c>
      <c r="G17" s="109">
        <v>0.26</v>
      </c>
    </row>
    <row r="18" spans="1:7" x14ac:dyDescent="0.2">
      <c r="A18" s="132" t="s">
        <v>511</v>
      </c>
      <c r="B18" s="109" t="s">
        <v>512</v>
      </c>
      <c r="C18" s="109">
        <v>2.1</v>
      </c>
      <c r="D18" s="109" t="s">
        <v>92</v>
      </c>
      <c r="E18" s="109" t="s">
        <v>499</v>
      </c>
    </row>
    <row r="19" spans="1:7" x14ac:dyDescent="0.2">
      <c r="A19" s="109" t="s">
        <v>513</v>
      </c>
      <c r="B19" s="109" t="s">
        <v>514</v>
      </c>
      <c r="C19" s="109">
        <v>222</v>
      </c>
      <c r="D19" s="109" t="s">
        <v>515</v>
      </c>
    </row>
    <row r="20" spans="1:7" x14ac:dyDescent="0.2">
      <c r="A20" s="109" t="s">
        <v>516</v>
      </c>
      <c r="B20" s="109" t="s">
        <v>517</v>
      </c>
      <c r="C20" s="117">
        <v>3.5</v>
      </c>
      <c r="D20" s="109" t="s">
        <v>518</v>
      </c>
    </row>
    <row r="21" spans="1:7" x14ac:dyDescent="0.2">
      <c r="A21" s="109" t="s">
        <v>519</v>
      </c>
      <c r="B21" s="109" t="s">
        <v>520</v>
      </c>
      <c r="C21" s="127">
        <v>7</v>
      </c>
      <c r="D21" s="109" t="s">
        <v>521</v>
      </c>
      <c r="E21" s="109" t="s">
        <v>472</v>
      </c>
    </row>
    <row r="22" spans="1:7" x14ac:dyDescent="0.2">
      <c r="A22" s="109" t="s">
        <v>522</v>
      </c>
      <c r="B22" s="109" t="s">
        <v>523</v>
      </c>
      <c r="C22" s="117">
        <v>18</v>
      </c>
      <c r="D22" s="109" t="s">
        <v>524</v>
      </c>
      <c r="E22" s="109" t="s">
        <v>481</v>
      </c>
    </row>
    <row r="23" spans="1:7" x14ac:dyDescent="0.2">
      <c r="A23" s="109" t="s">
        <v>525</v>
      </c>
      <c r="B23" s="109" t="s">
        <v>526</v>
      </c>
      <c r="C23" s="144">
        <f>3</f>
        <v>3</v>
      </c>
      <c r="D23" s="145" t="s">
        <v>527</v>
      </c>
      <c r="E23" s="109" t="s">
        <v>481</v>
      </c>
    </row>
    <row r="24" spans="1:7" x14ac:dyDescent="0.2">
      <c r="A24" s="109" t="s">
        <v>528</v>
      </c>
      <c r="B24" s="109" t="s">
        <v>529</v>
      </c>
      <c r="C24" s="136">
        <v>8.0000000000000002E-3</v>
      </c>
      <c r="D24" s="109" t="s">
        <v>530</v>
      </c>
      <c r="E24" s="109" t="s">
        <v>481</v>
      </c>
    </row>
    <row r="25" spans="1:7" x14ac:dyDescent="0.2">
      <c r="A25" s="132" t="s">
        <v>531</v>
      </c>
      <c r="B25" s="109" t="s">
        <v>532</v>
      </c>
      <c r="C25" s="136">
        <v>0.88300000000000001</v>
      </c>
      <c r="D25" s="109" t="s">
        <v>92</v>
      </c>
      <c r="E25" s="109" t="s">
        <v>499</v>
      </c>
    </row>
    <row r="26" spans="1:7" x14ac:dyDescent="0.2">
      <c r="A26" s="132" t="s">
        <v>533</v>
      </c>
      <c r="B26" s="109" t="s">
        <v>532</v>
      </c>
      <c r="C26" s="136">
        <v>7.8E-2</v>
      </c>
      <c r="D26" s="109" t="s">
        <v>92</v>
      </c>
      <c r="E26" s="109" t="s">
        <v>499</v>
      </c>
    </row>
    <row r="27" spans="1:7" x14ac:dyDescent="0.2">
      <c r="A27" s="132" t="s">
        <v>534</v>
      </c>
      <c r="B27" s="109" t="s">
        <v>532</v>
      </c>
      <c r="C27" s="136">
        <v>0</v>
      </c>
      <c r="D27" s="109" t="s">
        <v>92</v>
      </c>
      <c r="E27" s="109" t="s">
        <v>499</v>
      </c>
    </row>
    <row r="28" spans="1:7" x14ac:dyDescent="0.2">
      <c r="A28" s="109" t="s">
        <v>535</v>
      </c>
      <c r="B28" s="109" t="s">
        <v>536</v>
      </c>
      <c r="C28" s="127">
        <v>2</v>
      </c>
      <c r="D28" s="109" t="s">
        <v>537</v>
      </c>
    </row>
    <row r="29" spans="1:7" x14ac:dyDescent="0.2">
      <c r="A29" s="109" t="s">
        <v>538</v>
      </c>
      <c r="B29" s="109" t="s">
        <v>539</v>
      </c>
      <c r="C29" s="127">
        <v>0.5</v>
      </c>
      <c r="D29" s="109" t="s">
        <v>30</v>
      </c>
      <c r="E29" s="109" t="s">
        <v>540</v>
      </c>
    </row>
    <row r="30" spans="1:7" x14ac:dyDescent="0.2">
      <c r="A30" s="109" t="s">
        <v>541</v>
      </c>
      <c r="B30" s="109" t="s">
        <v>542</v>
      </c>
      <c r="C30" s="146">
        <v>10</v>
      </c>
      <c r="D30" s="145" t="s">
        <v>521</v>
      </c>
    </row>
    <row r="31" spans="1:7" x14ac:dyDescent="0.2">
      <c r="A31" s="109" t="s">
        <v>543</v>
      </c>
      <c r="B31" s="109" t="s">
        <v>544</v>
      </c>
      <c r="C31" s="146">
        <v>500</v>
      </c>
      <c r="D31" s="145" t="s">
        <v>545</v>
      </c>
      <c r="E31" s="109" t="s">
        <v>546</v>
      </c>
    </row>
    <row r="33" spans="1:5" x14ac:dyDescent="0.2">
      <c r="A33" s="108" t="s">
        <v>547</v>
      </c>
    </row>
    <row r="34" spans="1:5" x14ac:dyDescent="0.2">
      <c r="A34" s="109" t="s">
        <v>548</v>
      </c>
      <c r="B34" s="109" t="s">
        <v>549</v>
      </c>
      <c r="C34" s="117">
        <f>S*W*E/8.25</f>
        <v>11.818181818181818</v>
      </c>
      <c r="D34" s="109" t="s">
        <v>550</v>
      </c>
      <c r="E34" s="109" t="s">
        <v>551</v>
      </c>
    </row>
    <row r="35" spans="1:5" x14ac:dyDescent="0.2">
      <c r="A35" s="142" t="s">
        <v>552</v>
      </c>
      <c r="B35" s="142" t="s">
        <v>553</v>
      </c>
      <c r="C35" s="144"/>
      <c r="D35" s="142" t="s">
        <v>554</v>
      </c>
      <c r="E35" s="148"/>
    </row>
    <row r="36" spans="1:5" x14ac:dyDescent="0.2">
      <c r="A36" s="109" t="s">
        <v>555</v>
      </c>
      <c r="B36" s="109" t="s">
        <v>556</v>
      </c>
      <c r="C36" s="117">
        <f>A/Ca</f>
        <v>84.615384615384613</v>
      </c>
      <c r="D36" s="109" t="s">
        <v>557</v>
      </c>
      <c r="E36" s="137" t="s">
        <v>558</v>
      </c>
    </row>
    <row r="37" spans="1:5" x14ac:dyDescent="0.2">
      <c r="A37" s="109" t="s">
        <v>559</v>
      </c>
      <c r="B37" s="109" t="s">
        <v>560</v>
      </c>
      <c r="C37" s="117">
        <f>(crv_1-crv_2*Ny^0.5-crv_3*H^0.5)^2</f>
        <v>0.45783004840347474</v>
      </c>
      <c r="D37" s="109" t="s">
        <v>30</v>
      </c>
      <c r="E37" s="138" t="s">
        <v>561</v>
      </c>
    </row>
    <row r="38" spans="1:5" x14ac:dyDescent="0.2">
      <c r="A38" s="109" t="s">
        <v>562</v>
      </c>
      <c r="B38" s="109" t="s">
        <v>563</v>
      </c>
      <c r="C38" s="117">
        <f>RV*Pmach</f>
        <v>0</v>
      </c>
      <c r="D38" s="109" t="s">
        <v>554</v>
      </c>
      <c r="E38" s="117" t="s">
        <v>564</v>
      </c>
    </row>
    <row r="39" spans="1:5" x14ac:dyDescent="0.2">
      <c r="A39" s="109" t="s">
        <v>565</v>
      </c>
      <c r="B39" s="109" t="s">
        <v>566</v>
      </c>
      <c r="C39" s="117">
        <f>PV(I,Ny,,-Salv)</f>
        <v>0</v>
      </c>
      <c r="D39" s="109" t="s">
        <v>554</v>
      </c>
      <c r="E39" s="117" t="s">
        <v>567</v>
      </c>
    </row>
    <row r="40" spans="1:5" x14ac:dyDescent="0.2">
      <c r="A40" s="109" t="s">
        <v>568</v>
      </c>
      <c r="B40" s="109" t="s">
        <v>569</v>
      </c>
      <c r="C40" s="117">
        <f>PMT(I,Ny,-(Pmach-Pvsalv))</f>
        <v>0</v>
      </c>
      <c r="D40" s="109" t="s">
        <v>570</v>
      </c>
      <c r="E40" s="117" t="s">
        <v>571</v>
      </c>
    </row>
    <row r="41" spans="1:5" x14ac:dyDescent="0.2">
      <c r="A41" s="109" t="s">
        <v>572</v>
      </c>
      <c r="B41" s="109" t="s">
        <v>573</v>
      </c>
      <c r="C41" s="117">
        <f>Plab*H</f>
        <v>1523.0769230769231</v>
      </c>
      <c r="D41" s="109" t="s">
        <v>574</v>
      </c>
      <c r="E41" s="117" t="s">
        <v>575</v>
      </c>
    </row>
    <row r="42" spans="1:5" x14ac:dyDescent="0.2">
      <c r="A42" s="109" t="s">
        <v>576</v>
      </c>
      <c r="B42" s="109" t="s">
        <v>577</v>
      </c>
      <c r="C42" s="117">
        <f>W/Wper*12</f>
        <v>12</v>
      </c>
      <c r="D42" s="109" t="s">
        <v>578</v>
      </c>
      <c r="E42" s="138" t="s">
        <v>579</v>
      </c>
    </row>
    <row r="43" spans="1:5" x14ac:dyDescent="0.2">
      <c r="A43" s="109" t="s">
        <v>580</v>
      </c>
      <c r="B43" s="109" t="s">
        <v>581</v>
      </c>
      <c r="C43" s="117">
        <f>Fs*(DA+DB*S+DC*S^2)*Wuse*T</f>
        <v>4723.2</v>
      </c>
      <c r="D43" s="109" t="s">
        <v>394</v>
      </c>
      <c r="E43" s="137" t="s">
        <v>582</v>
      </c>
    </row>
    <row r="44" spans="1:5" x14ac:dyDescent="0.2">
      <c r="A44" s="109" t="s">
        <v>583</v>
      </c>
      <c r="B44" s="109" t="s">
        <v>584</v>
      </c>
      <c r="C44" s="117">
        <f>D*S/375</f>
        <v>62.975999999999999</v>
      </c>
      <c r="D44" s="109" t="s">
        <v>382</v>
      </c>
      <c r="E44" s="137" t="s">
        <v>585</v>
      </c>
    </row>
    <row r="45" spans="1:5" x14ac:dyDescent="0.2">
      <c r="A45" s="142" t="s">
        <v>586</v>
      </c>
      <c r="B45" s="142" t="s">
        <v>587</v>
      </c>
      <c r="C45" s="147">
        <f>Pdb/(Et*0.96)</f>
        <v>93.714285714285722</v>
      </c>
      <c r="D45" s="142" t="s">
        <v>382</v>
      </c>
      <c r="E45" s="142" t="s">
        <v>588</v>
      </c>
    </row>
    <row r="46" spans="1:5" x14ac:dyDescent="0.2">
      <c r="A46" s="142" t="s">
        <v>589</v>
      </c>
      <c r="B46" s="142" t="s">
        <v>590</v>
      </c>
      <c r="C46" s="144">
        <f>Pt*(1+reserve)</f>
        <v>140.57142857142858</v>
      </c>
      <c r="D46" s="142" t="s">
        <v>382</v>
      </c>
      <c r="E46" s="149" t="s">
        <v>591</v>
      </c>
    </row>
    <row r="47" spans="1:5" x14ac:dyDescent="0.2">
      <c r="A47" s="142" t="s">
        <v>592</v>
      </c>
      <c r="B47" s="142" t="s">
        <v>593</v>
      </c>
      <c r="C47" s="144"/>
      <c r="D47" s="142" t="s">
        <v>594</v>
      </c>
      <c r="E47" s="142" t="s">
        <v>595</v>
      </c>
    </row>
    <row r="48" spans="1:5" x14ac:dyDescent="0.2">
      <c r="A48" s="109" t="s">
        <v>40</v>
      </c>
      <c r="B48" s="109" t="s">
        <v>39</v>
      </c>
      <c r="C48" s="117">
        <f>0.52*Pt/Pr+0.77-0.04*(738*Pt/Pr+173)^0.5</f>
        <v>8.5162910008456549E-2</v>
      </c>
      <c r="D48" s="109" t="s">
        <v>596</v>
      </c>
      <c r="E48" s="139" t="s">
        <v>597</v>
      </c>
    </row>
    <row r="49" spans="1:6" x14ac:dyDescent="0.2">
      <c r="A49" s="109" t="s">
        <v>45</v>
      </c>
      <c r="B49" s="109" t="s">
        <v>44</v>
      </c>
      <c r="C49" s="117">
        <f>SFC*Pt</f>
        <v>7.9809812807925002</v>
      </c>
      <c r="D49" s="109" t="s">
        <v>598</v>
      </c>
      <c r="E49" s="127" t="s">
        <v>599</v>
      </c>
    </row>
    <row r="50" spans="1:6" x14ac:dyDescent="0.2">
      <c r="A50" s="109" t="s">
        <v>600</v>
      </c>
      <c r="B50" s="109" t="s">
        <v>601</v>
      </c>
      <c r="C50" s="117">
        <f>FC*A/Ca</f>
        <v>675.31380068244232</v>
      </c>
      <c r="D50" s="109" t="s">
        <v>602</v>
      </c>
      <c r="E50" s="137" t="s">
        <v>603</v>
      </c>
    </row>
    <row r="51" spans="1:6" x14ac:dyDescent="0.2">
      <c r="A51" s="109" t="s">
        <v>604</v>
      </c>
      <c r="B51" s="109" t="s">
        <v>605</v>
      </c>
      <c r="C51" s="117">
        <f>TFC*Pfuel</f>
        <v>2025.9414020473268</v>
      </c>
      <c r="D51" s="109" t="s">
        <v>570</v>
      </c>
      <c r="E51" s="117" t="s">
        <v>606</v>
      </c>
    </row>
    <row r="52" spans="1:6" x14ac:dyDescent="0.2">
      <c r="A52" s="109" t="s">
        <v>607</v>
      </c>
      <c r="B52" s="109" t="s">
        <v>608</v>
      </c>
      <c r="C52" s="117">
        <f>Ptra*Pt*H</f>
        <v>0</v>
      </c>
      <c r="D52" s="109" t="s">
        <v>570</v>
      </c>
      <c r="E52" s="117" t="s">
        <v>609</v>
      </c>
    </row>
    <row r="53" spans="1:6" x14ac:dyDescent="0.2">
      <c r="A53" s="109" t="s">
        <v>610</v>
      </c>
      <c r="B53" s="109" t="s">
        <v>611</v>
      </c>
      <c r="C53" s="117">
        <f>Tipct/100*Pmach</f>
        <v>0</v>
      </c>
      <c r="D53" s="109" t="s">
        <v>570</v>
      </c>
      <c r="E53" s="117" t="s">
        <v>612</v>
      </c>
    </row>
    <row r="54" spans="1:6" x14ac:dyDescent="0.2">
      <c r="A54" s="109" t="s">
        <v>613</v>
      </c>
      <c r="B54" s="109" t="s">
        <v>614</v>
      </c>
      <c r="C54" s="117">
        <f>PMT(I,Ny,-D89)</f>
        <v>0</v>
      </c>
      <c r="D54" s="109" t="s">
        <v>570</v>
      </c>
      <c r="E54" s="138" t="s">
        <v>615</v>
      </c>
    </row>
    <row r="55" spans="1:6" x14ac:dyDescent="0.2">
      <c r="A55" s="145" t="s">
        <v>616</v>
      </c>
      <c r="B55" s="145" t="s">
        <v>617</v>
      </c>
      <c r="C55" s="144">
        <f>Ca*B*G*pwd</f>
        <v>1063.6363636363635</v>
      </c>
      <c r="D55" s="145" t="s">
        <v>480</v>
      </c>
      <c r="E55" s="144" t="s">
        <v>618</v>
      </c>
      <c r="F55" s="117">
        <f>SUM(C55:E55)</f>
        <v>1063.6363636363635</v>
      </c>
    </row>
    <row r="56" spans="1:6" x14ac:dyDescent="0.2">
      <c r="A56" s="145" t="s">
        <v>619</v>
      </c>
      <c r="B56" s="145" t="s">
        <v>620</v>
      </c>
      <c r="C56" s="144">
        <f>MAX(0,A-Atimely)</f>
        <v>0</v>
      </c>
      <c r="D56" s="145" t="s">
        <v>480</v>
      </c>
      <c r="E56" s="144" t="s">
        <v>621</v>
      </c>
      <c r="F56" s="117">
        <f>SUM(C56:E56)</f>
        <v>0</v>
      </c>
    </row>
    <row r="57" spans="1:6" x14ac:dyDescent="0.2">
      <c r="A57" s="145" t="s">
        <v>622</v>
      </c>
      <c r="B57" s="145" t="s">
        <v>623</v>
      </c>
      <c r="C57" s="144">
        <f>(Alate/(Ca*G*pwd))/2</f>
        <v>0</v>
      </c>
      <c r="D57" s="145" t="s">
        <v>489</v>
      </c>
      <c r="E57" s="144" t="s">
        <v>624</v>
      </c>
      <c r="F57" s="117">
        <f>SUM(C57:E57)</f>
        <v>0</v>
      </c>
    </row>
    <row r="58" spans="1:6" x14ac:dyDescent="0.2">
      <c r="A58" s="145" t="s">
        <v>625</v>
      </c>
      <c r="B58" s="145" t="s">
        <v>626</v>
      </c>
      <c r="C58" s="144">
        <f>K*delay*Y*V*Alate</f>
        <v>0</v>
      </c>
      <c r="D58" s="145" t="s">
        <v>570</v>
      </c>
      <c r="E58" s="144" t="s">
        <v>627</v>
      </c>
      <c r="F58" s="117">
        <f>SUM(C58:E58)</f>
        <v>0</v>
      </c>
    </row>
    <row r="59" spans="1:6" x14ac:dyDescent="0.2">
      <c r="C59" s="117"/>
      <c r="E59" s="117"/>
    </row>
    <row r="60" spans="1:6" x14ac:dyDescent="0.2">
      <c r="A60" s="108" t="s">
        <v>628</v>
      </c>
    </row>
    <row r="61" spans="1:6" x14ac:dyDescent="0.2">
      <c r="A61" s="109" t="s">
        <v>629</v>
      </c>
      <c r="B61" s="109" t="s">
        <v>630</v>
      </c>
      <c r="C61" s="117">
        <f>INVEST+LABOR+FUEL+TRACT+RM+TI+TIME</f>
        <v>3549.0183251242497</v>
      </c>
      <c r="D61" s="109" t="s">
        <v>570</v>
      </c>
      <c r="E61" s="117" t="s">
        <v>631</v>
      </c>
    </row>
    <row r="62" spans="1:6" x14ac:dyDescent="0.2">
      <c r="A62" s="109" t="s">
        <v>632</v>
      </c>
      <c r="B62" s="109" t="s">
        <v>630</v>
      </c>
      <c r="C62" s="117">
        <f>GT/A</f>
        <v>3.5490183251242495</v>
      </c>
      <c r="D62" s="109" t="s">
        <v>633</v>
      </c>
      <c r="E62" s="117" t="s">
        <v>634</v>
      </c>
    </row>
    <row r="66" spans="1:4" x14ac:dyDescent="0.2">
      <c r="A66" s="109" t="s">
        <v>635</v>
      </c>
    </row>
    <row r="67" spans="1:4" x14ac:dyDescent="0.2">
      <c r="A67" s="128" t="s">
        <v>636</v>
      </c>
      <c r="B67" s="128" t="s">
        <v>637</v>
      </c>
      <c r="C67" s="128" t="s">
        <v>638</v>
      </c>
      <c r="D67" s="128" t="s">
        <v>639</v>
      </c>
    </row>
    <row r="68" spans="1:4" x14ac:dyDescent="0.2">
      <c r="A68" s="128"/>
      <c r="B68" s="128"/>
      <c r="C68" s="128" t="s">
        <v>640</v>
      </c>
      <c r="D68" s="128" t="s">
        <v>641</v>
      </c>
    </row>
    <row r="69" spans="1:4" x14ac:dyDescent="0.2">
      <c r="A69" s="109">
        <v>1</v>
      </c>
      <c r="B69" s="137">
        <f>IF(C$21&gt;A69, C$17*C$35*(A69*C$36/1000)^C$18,0)</f>
        <v>0</v>
      </c>
      <c r="C69" s="137">
        <f>B69</f>
        <v>0</v>
      </c>
      <c r="D69" s="137">
        <f>C69/(1+C$26)^A69</f>
        <v>0</v>
      </c>
    </row>
    <row r="70" spans="1:4" x14ac:dyDescent="0.2">
      <c r="A70" s="109">
        <v>2</v>
      </c>
      <c r="B70" s="137">
        <f t="shared" ref="B70:B88" si="1">IF(C$21&gt;A70, C$17*C$35*(A70*C$36/1000)^C$18,0)</f>
        <v>0</v>
      </c>
      <c r="C70" s="137">
        <f t="shared" ref="C70:C88" si="2">IF(B70&gt;0,B70-B69,0)</f>
        <v>0</v>
      </c>
      <c r="D70" s="137">
        <f t="shared" ref="D70:D88" si="3">C70/(1+C$26)^A70</f>
        <v>0</v>
      </c>
    </row>
    <row r="71" spans="1:4" x14ac:dyDescent="0.2">
      <c r="A71" s="109">
        <v>3</v>
      </c>
      <c r="B71" s="137">
        <f t="shared" si="1"/>
        <v>0</v>
      </c>
      <c r="C71" s="137">
        <f t="shared" si="2"/>
        <v>0</v>
      </c>
      <c r="D71" s="137">
        <f t="shared" si="3"/>
        <v>0</v>
      </c>
    </row>
    <row r="72" spans="1:4" x14ac:dyDescent="0.2">
      <c r="A72" s="109">
        <v>4</v>
      </c>
      <c r="B72" s="137">
        <f t="shared" si="1"/>
        <v>0</v>
      </c>
      <c r="C72" s="137">
        <f t="shared" si="2"/>
        <v>0</v>
      </c>
      <c r="D72" s="137">
        <f t="shared" si="3"/>
        <v>0</v>
      </c>
    </row>
    <row r="73" spans="1:4" x14ac:dyDescent="0.2">
      <c r="A73" s="109">
        <v>5</v>
      </c>
      <c r="B73" s="137">
        <f t="shared" si="1"/>
        <v>0</v>
      </c>
      <c r="C73" s="137">
        <f t="shared" si="2"/>
        <v>0</v>
      </c>
      <c r="D73" s="137">
        <f t="shared" si="3"/>
        <v>0</v>
      </c>
    </row>
    <row r="74" spans="1:4" x14ac:dyDescent="0.2">
      <c r="A74" s="109">
        <v>6</v>
      </c>
      <c r="B74" s="137">
        <f t="shared" si="1"/>
        <v>0</v>
      </c>
      <c r="C74" s="137">
        <f t="shared" si="2"/>
        <v>0</v>
      </c>
      <c r="D74" s="137">
        <f t="shared" si="3"/>
        <v>0</v>
      </c>
    </row>
    <row r="75" spans="1:4" x14ac:dyDescent="0.2">
      <c r="A75" s="109">
        <v>7</v>
      </c>
      <c r="B75" s="137">
        <f t="shared" si="1"/>
        <v>0</v>
      </c>
      <c r="C75" s="137">
        <f t="shared" si="2"/>
        <v>0</v>
      </c>
      <c r="D75" s="137">
        <f t="shared" si="3"/>
        <v>0</v>
      </c>
    </row>
    <row r="76" spans="1:4" x14ac:dyDescent="0.2">
      <c r="A76" s="109">
        <v>8</v>
      </c>
      <c r="B76" s="137">
        <f t="shared" si="1"/>
        <v>0</v>
      </c>
      <c r="C76" s="137">
        <f t="shared" si="2"/>
        <v>0</v>
      </c>
      <c r="D76" s="137">
        <f t="shared" si="3"/>
        <v>0</v>
      </c>
    </row>
    <row r="77" spans="1:4" x14ac:dyDescent="0.2">
      <c r="A77" s="109">
        <v>9</v>
      </c>
      <c r="B77" s="137">
        <f t="shared" si="1"/>
        <v>0</v>
      </c>
      <c r="C77" s="137">
        <f t="shared" si="2"/>
        <v>0</v>
      </c>
      <c r="D77" s="137">
        <f t="shared" si="3"/>
        <v>0</v>
      </c>
    </row>
    <row r="78" spans="1:4" x14ac:dyDescent="0.2">
      <c r="A78" s="109">
        <v>10</v>
      </c>
      <c r="B78" s="137">
        <f t="shared" si="1"/>
        <v>0</v>
      </c>
      <c r="C78" s="137">
        <f t="shared" si="2"/>
        <v>0</v>
      </c>
      <c r="D78" s="137">
        <f t="shared" si="3"/>
        <v>0</v>
      </c>
    </row>
    <row r="79" spans="1:4" x14ac:dyDescent="0.2">
      <c r="A79" s="109">
        <v>11</v>
      </c>
      <c r="B79" s="137">
        <f t="shared" si="1"/>
        <v>0</v>
      </c>
      <c r="C79" s="137">
        <f t="shared" si="2"/>
        <v>0</v>
      </c>
      <c r="D79" s="137">
        <f t="shared" si="3"/>
        <v>0</v>
      </c>
    </row>
    <row r="80" spans="1:4" x14ac:dyDescent="0.2">
      <c r="A80" s="109">
        <v>12</v>
      </c>
      <c r="B80" s="137">
        <f t="shared" si="1"/>
        <v>0</v>
      </c>
      <c r="C80" s="137">
        <f t="shared" si="2"/>
        <v>0</v>
      </c>
      <c r="D80" s="137">
        <f t="shared" si="3"/>
        <v>0</v>
      </c>
    </row>
    <row r="81" spans="1:4" x14ac:dyDescent="0.2">
      <c r="A81" s="109">
        <v>13</v>
      </c>
      <c r="B81" s="137">
        <f t="shared" si="1"/>
        <v>0</v>
      </c>
      <c r="C81" s="137">
        <f t="shared" si="2"/>
        <v>0</v>
      </c>
      <c r="D81" s="137">
        <f t="shared" si="3"/>
        <v>0</v>
      </c>
    </row>
    <row r="82" spans="1:4" x14ac:dyDescent="0.2">
      <c r="A82" s="109">
        <v>14</v>
      </c>
      <c r="B82" s="137">
        <f t="shared" si="1"/>
        <v>0</v>
      </c>
      <c r="C82" s="137">
        <f t="shared" si="2"/>
        <v>0</v>
      </c>
      <c r="D82" s="137">
        <f t="shared" si="3"/>
        <v>0</v>
      </c>
    </row>
    <row r="83" spans="1:4" x14ac:dyDescent="0.2">
      <c r="A83" s="109">
        <v>15</v>
      </c>
      <c r="B83" s="137">
        <f t="shared" si="1"/>
        <v>0</v>
      </c>
      <c r="C83" s="137">
        <f t="shared" si="2"/>
        <v>0</v>
      </c>
      <c r="D83" s="137">
        <f t="shared" si="3"/>
        <v>0</v>
      </c>
    </row>
    <row r="84" spans="1:4" x14ac:dyDescent="0.2">
      <c r="A84" s="109">
        <v>16</v>
      </c>
      <c r="B84" s="137">
        <f t="shared" si="1"/>
        <v>0</v>
      </c>
      <c r="C84" s="137">
        <f t="shared" si="2"/>
        <v>0</v>
      </c>
      <c r="D84" s="137">
        <f t="shared" si="3"/>
        <v>0</v>
      </c>
    </row>
    <row r="85" spans="1:4" x14ac:dyDescent="0.2">
      <c r="A85" s="109">
        <v>17</v>
      </c>
      <c r="B85" s="137">
        <f t="shared" si="1"/>
        <v>0</v>
      </c>
      <c r="C85" s="137">
        <f t="shared" si="2"/>
        <v>0</v>
      </c>
      <c r="D85" s="137">
        <f t="shared" si="3"/>
        <v>0</v>
      </c>
    </row>
    <row r="86" spans="1:4" x14ac:dyDescent="0.2">
      <c r="A86" s="109">
        <v>18</v>
      </c>
      <c r="B86" s="137">
        <f t="shared" si="1"/>
        <v>0</v>
      </c>
      <c r="C86" s="137">
        <f t="shared" si="2"/>
        <v>0</v>
      </c>
      <c r="D86" s="137">
        <f t="shared" si="3"/>
        <v>0</v>
      </c>
    </row>
    <row r="87" spans="1:4" x14ac:dyDescent="0.2">
      <c r="A87" s="109">
        <v>19</v>
      </c>
      <c r="B87" s="137">
        <f t="shared" si="1"/>
        <v>0</v>
      </c>
      <c r="C87" s="137">
        <f t="shared" si="2"/>
        <v>0</v>
      </c>
      <c r="D87" s="137">
        <f t="shared" si="3"/>
        <v>0</v>
      </c>
    </row>
    <row r="88" spans="1:4" x14ac:dyDescent="0.2">
      <c r="A88" s="109">
        <v>20</v>
      </c>
      <c r="B88" s="137">
        <f t="shared" si="1"/>
        <v>0</v>
      </c>
      <c r="C88" s="137">
        <f t="shared" si="2"/>
        <v>0</v>
      </c>
      <c r="D88" s="137">
        <f t="shared" si="3"/>
        <v>0</v>
      </c>
    </row>
    <row r="89" spans="1:4" x14ac:dyDescent="0.2">
      <c r="C89" s="140" t="s">
        <v>642</v>
      </c>
      <c r="D89" s="137">
        <f>SUM(D69:D88)</f>
        <v>0</v>
      </c>
    </row>
  </sheetData>
  <printOptions gridLines="1"/>
  <pageMargins left="0.75" right="0.75" top="1" bottom="1" header="0.5" footer="0.5"/>
  <pageSetup scale="58" fitToWidth="2" orientation="portrait" verticalDpi="300" r:id="rId1"/>
  <headerFooter alignWithMargins="0">
    <oddHeader>&amp;F</oddHeader>
    <oddFooter>&amp;A</oddFooter>
  </headerFooter>
  <drawing r:id="rId2"/>
  <legacyDrawing r:id="rId3"/>
  <oleObjects>
    <mc:AlternateContent xmlns:mc="http://schemas.openxmlformats.org/markup-compatibility/2006">
      <mc:Choice Requires="x14">
        <oleObject progId="Acrobat Document" shapeId="8193" r:id="rId4">
          <objectPr defaultSize="0" autoPict="0" r:id="rId5">
            <anchor moveWithCells="1">
              <from>
                <xdr:col>11</xdr:col>
                <xdr:colOff>295275</xdr:colOff>
                <xdr:row>0</xdr:row>
                <xdr:rowOff>104775</xdr:rowOff>
              </from>
              <to>
                <xdr:col>18</xdr:col>
                <xdr:colOff>552450</xdr:colOff>
                <xdr:row>36</xdr:row>
                <xdr:rowOff>114300</xdr:rowOff>
              </to>
            </anchor>
          </objectPr>
        </oleObject>
      </mc:Choice>
      <mc:Fallback>
        <oleObject progId="Acrobat Document" shapeId="8193" r:id="rId4"/>
      </mc:Fallback>
    </mc:AlternateContent>
    <mc:AlternateContent xmlns:mc="http://schemas.openxmlformats.org/markup-compatibility/2006">
      <mc:Choice Requires="x14">
        <oleObject progId="Acrobat Document" shapeId="8194" r:id="rId6">
          <objectPr defaultSize="0" autoPict="0" r:id="rId7">
            <anchor moveWithCells="1">
              <from>
                <xdr:col>11</xdr:col>
                <xdr:colOff>285750</xdr:colOff>
                <xdr:row>37</xdr:row>
                <xdr:rowOff>57150</xdr:rowOff>
              </from>
              <to>
                <xdr:col>18</xdr:col>
                <xdr:colOff>514350</xdr:colOff>
                <xdr:row>73</xdr:row>
                <xdr:rowOff>47625</xdr:rowOff>
              </to>
            </anchor>
          </objectPr>
        </oleObject>
      </mc:Choice>
      <mc:Fallback>
        <oleObject progId="Acrobat Document" shapeId="8194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3FFDF-B6E3-4B2E-A510-7558D5C7202A}">
  <dimension ref="A1:EB119"/>
  <sheetViews>
    <sheetView zoomScale="115" zoomScaleNormal="115" workbookViewId="0">
      <selection activeCell="C39" sqref="C39"/>
    </sheetView>
  </sheetViews>
  <sheetFormatPr defaultRowHeight="12.75" x14ac:dyDescent="0.2"/>
  <cols>
    <col min="1" max="1" width="8.140625" style="109" customWidth="1"/>
    <col min="2" max="2" width="53.28515625" style="109" customWidth="1"/>
    <col min="3" max="4" width="10.85546875" style="109" customWidth="1"/>
    <col min="5" max="5" width="9.28515625" style="109" customWidth="1"/>
    <col min="6" max="6" width="54.85546875" style="109" customWidth="1"/>
    <col min="7" max="16384" width="9.140625" style="109"/>
  </cols>
  <sheetData>
    <row r="1" spans="1:132" ht="16.5" thickBot="1" x14ac:dyDescent="0.3">
      <c r="A1" s="151" t="s">
        <v>652</v>
      </c>
      <c r="B1" s="151" t="s">
        <v>653</v>
      </c>
      <c r="C1" s="151" t="s">
        <v>654</v>
      </c>
      <c r="D1" s="151" t="s">
        <v>655</v>
      </c>
      <c r="E1" s="151" t="s">
        <v>400</v>
      </c>
      <c r="F1" s="151" t="s">
        <v>656</v>
      </c>
    </row>
    <row r="2" spans="1:132" ht="15.75" x14ac:dyDescent="0.25">
      <c r="A2" s="152" t="s">
        <v>657</v>
      </c>
      <c r="B2" s="153"/>
      <c r="C2" s="153"/>
      <c r="D2" s="153"/>
      <c r="E2" s="153"/>
      <c r="F2" s="154"/>
      <c r="H2" s="155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133"/>
      <c r="BB2" s="133"/>
      <c r="BC2" s="133"/>
      <c r="BD2" s="133"/>
      <c r="BE2" s="133"/>
      <c r="BF2" s="133"/>
      <c r="BG2" s="133"/>
      <c r="BH2" s="133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3"/>
      <c r="BV2" s="133"/>
      <c r="BW2" s="133"/>
      <c r="BX2" s="133"/>
      <c r="BY2" s="133"/>
      <c r="BZ2" s="133"/>
      <c r="CA2" s="133"/>
      <c r="CB2" s="133"/>
      <c r="CC2" s="133"/>
      <c r="CD2" s="133"/>
      <c r="CE2" s="133"/>
      <c r="CF2" s="133"/>
      <c r="CG2" s="133"/>
      <c r="CH2" s="133"/>
      <c r="CI2" s="133"/>
      <c r="CJ2" s="133"/>
      <c r="CK2" s="133"/>
      <c r="CL2" s="133"/>
      <c r="CM2" s="133"/>
      <c r="CN2" s="133"/>
      <c r="CO2" s="133"/>
      <c r="CP2" s="133"/>
      <c r="CQ2" s="133"/>
      <c r="CR2" s="133"/>
      <c r="CS2" s="133"/>
      <c r="CT2" s="133"/>
      <c r="CU2" s="133"/>
      <c r="CV2" s="133"/>
      <c r="CW2" s="133"/>
      <c r="CX2" s="133"/>
      <c r="CY2" s="133"/>
      <c r="CZ2" s="133"/>
      <c r="DA2" s="133"/>
      <c r="DB2" s="133"/>
      <c r="DC2" s="133"/>
      <c r="DD2" s="133"/>
      <c r="DE2" s="133"/>
      <c r="DF2" s="133"/>
      <c r="DG2" s="133"/>
      <c r="DH2" s="133"/>
      <c r="DI2" s="133"/>
      <c r="DJ2" s="133"/>
      <c r="DK2" s="133"/>
      <c r="DL2" s="133"/>
      <c r="DM2" s="133"/>
      <c r="DN2" s="133"/>
      <c r="DO2" s="133"/>
      <c r="DP2" s="133"/>
      <c r="DQ2" s="133"/>
      <c r="DR2" s="133"/>
      <c r="DS2" s="133"/>
      <c r="DT2" s="133"/>
      <c r="DU2" s="133"/>
      <c r="DV2" s="133"/>
      <c r="DW2" s="133"/>
      <c r="DX2" s="133"/>
      <c r="DY2" s="133"/>
      <c r="DZ2" s="133"/>
      <c r="EA2" s="133"/>
      <c r="EB2" s="133"/>
    </row>
    <row r="3" spans="1:132" ht="15" x14ac:dyDescent="0.2">
      <c r="A3" s="156" t="s">
        <v>658</v>
      </c>
      <c r="B3" s="157" t="s">
        <v>659</v>
      </c>
      <c r="C3" s="254">
        <v>141</v>
      </c>
      <c r="D3" s="158">
        <v>200</v>
      </c>
      <c r="E3" s="157" t="s">
        <v>382</v>
      </c>
      <c r="F3" s="159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</row>
    <row r="4" spans="1:132" ht="15" x14ac:dyDescent="0.2">
      <c r="A4" s="156" t="s">
        <v>660</v>
      </c>
      <c r="B4" s="157" t="s">
        <v>661</v>
      </c>
      <c r="C4" s="160">
        <v>1</v>
      </c>
      <c r="D4" s="160">
        <v>1</v>
      </c>
      <c r="E4" s="157" t="s">
        <v>662</v>
      </c>
      <c r="F4" s="159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  <c r="BP4" s="133"/>
      <c r="BQ4" s="133"/>
      <c r="BR4" s="133"/>
      <c r="BS4" s="133"/>
      <c r="BT4" s="133"/>
      <c r="BU4" s="133"/>
      <c r="BV4" s="133"/>
      <c r="BW4" s="133"/>
      <c r="BX4" s="133"/>
      <c r="BY4" s="133"/>
      <c r="BZ4" s="133"/>
      <c r="CA4" s="133"/>
      <c r="CB4" s="133"/>
      <c r="CC4" s="133"/>
      <c r="CD4" s="133"/>
      <c r="CE4" s="133"/>
      <c r="CF4" s="133"/>
      <c r="CG4" s="133"/>
      <c r="CH4" s="133"/>
      <c r="CI4" s="133"/>
      <c r="CJ4" s="133"/>
      <c r="CK4" s="133"/>
      <c r="CL4" s="133"/>
      <c r="CM4" s="133"/>
      <c r="CN4" s="133"/>
      <c r="CO4" s="133"/>
      <c r="CP4" s="133"/>
      <c r="CQ4" s="133"/>
      <c r="CR4" s="133"/>
      <c r="CS4" s="133"/>
      <c r="CT4" s="133"/>
      <c r="CU4" s="133"/>
      <c r="CV4" s="133"/>
      <c r="CW4" s="133"/>
      <c r="CX4" s="133"/>
      <c r="CY4" s="133"/>
      <c r="CZ4" s="133"/>
      <c r="DA4" s="133"/>
      <c r="DB4" s="133"/>
      <c r="DC4" s="133"/>
      <c r="DD4" s="133"/>
      <c r="DE4" s="133"/>
      <c r="DF4" s="133"/>
      <c r="DG4" s="133"/>
      <c r="DH4" s="133"/>
      <c r="DI4" s="133"/>
      <c r="DJ4" s="133"/>
      <c r="DK4" s="133"/>
      <c r="DL4" s="133"/>
      <c r="DM4" s="133"/>
      <c r="DN4" s="133"/>
      <c r="DO4" s="133"/>
      <c r="DP4" s="133"/>
      <c r="DQ4" s="133"/>
      <c r="DR4" s="133"/>
      <c r="DS4" s="133"/>
      <c r="DT4" s="133"/>
      <c r="DU4" s="133"/>
      <c r="DV4" s="133"/>
      <c r="DW4" s="133"/>
      <c r="DX4" s="133"/>
      <c r="DY4" s="133"/>
      <c r="DZ4" s="133"/>
      <c r="EA4" s="133"/>
      <c r="EB4" s="133"/>
    </row>
    <row r="5" spans="1:132" ht="15.75" x14ac:dyDescent="0.25">
      <c r="A5" s="156" t="s">
        <v>519</v>
      </c>
      <c r="B5" s="157" t="s">
        <v>663</v>
      </c>
      <c r="C5" s="245">
        <v>6</v>
      </c>
      <c r="D5" s="160">
        <v>6</v>
      </c>
      <c r="E5" s="157" t="s">
        <v>521</v>
      </c>
      <c r="F5" s="159"/>
      <c r="H5" s="133"/>
      <c r="I5" s="155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  <c r="CQ5" s="161"/>
      <c r="CR5" s="161"/>
      <c r="CS5" s="161"/>
      <c r="CT5" s="161"/>
      <c r="CU5" s="161"/>
      <c r="CV5" s="161"/>
      <c r="CW5" s="161"/>
      <c r="CX5" s="161"/>
      <c r="CY5" s="161"/>
      <c r="CZ5" s="161"/>
      <c r="DA5" s="161"/>
      <c r="DB5" s="161"/>
      <c r="DC5" s="161"/>
      <c r="DD5" s="161"/>
      <c r="DE5" s="161"/>
      <c r="DF5" s="161"/>
      <c r="DG5" s="161"/>
      <c r="DH5" s="161"/>
      <c r="DI5" s="161"/>
      <c r="DJ5" s="161"/>
      <c r="DK5" s="161"/>
      <c r="DL5" s="161"/>
      <c r="DM5" s="161"/>
      <c r="DN5" s="161"/>
      <c r="DO5" s="161"/>
      <c r="DP5" s="161"/>
      <c r="DQ5" s="161"/>
      <c r="DR5" s="161"/>
      <c r="DS5" s="161"/>
      <c r="DT5" s="161"/>
      <c r="DU5" s="161"/>
      <c r="DV5" s="161"/>
      <c r="DW5" s="161"/>
      <c r="DX5" s="161"/>
      <c r="DY5" s="161"/>
      <c r="DZ5" s="161"/>
      <c r="EA5" s="161"/>
      <c r="EB5" s="161"/>
    </row>
    <row r="6" spans="1:132" ht="15" x14ac:dyDescent="0.2">
      <c r="A6" s="156" t="s">
        <v>555</v>
      </c>
      <c r="B6" s="157" t="s">
        <v>664</v>
      </c>
      <c r="C6" s="245">
        <v>500</v>
      </c>
      <c r="D6" s="160">
        <v>600</v>
      </c>
      <c r="E6" s="157" t="s">
        <v>665</v>
      </c>
      <c r="F6" s="159"/>
      <c r="H6" s="162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3"/>
      <c r="BH6" s="133"/>
      <c r="BI6" s="133"/>
      <c r="BJ6" s="133"/>
      <c r="BK6" s="133"/>
      <c r="BL6" s="133"/>
      <c r="BM6" s="133"/>
      <c r="BN6" s="133"/>
      <c r="BO6" s="133"/>
      <c r="BP6" s="133"/>
      <c r="BQ6" s="133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</row>
    <row r="7" spans="1:132" ht="15" x14ac:dyDescent="0.2">
      <c r="A7" s="156" t="s">
        <v>219</v>
      </c>
      <c r="B7" s="157" t="s">
        <v>507</v>
      </c>
      <c r="C7" s="163">
        <v>0.05</v>
      </c>
      <c r="D7" s="163">
        <v>0.05</v>
      </c>
      <c r="E7" s="157" t="s">
        <v>508</v>
      </c>
      <c r="F7" s="159"/>
      <c r="H7" s="133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</row>
    <row r="8" spans="1:132" ht="15.75" x14ac:dyDescent="0.25">
      <c r="A8" s="156" t="s">
        <v>666</v>
      </c>
      <c r="B8" s="157" t="s">
        <v>526</v>
      </c>
      <c r="C8" s="247">
        <v>3.78</v>
      </c>
      <c r="D8" s="165">
        <v>3.78</v>
      </c>
      <c r="E8" s="157" t="s">
        <v>527</v>
      </c>
      <c r="F8" s="159"/>
      <c r="H8" s="133"/>
      <c r="I8" s="162"/>
      <c r="J8" s="162"/>
      <c r="K8" s="162"/>
      <c r="L8" s="162"/>
      <c r="M8" s="166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67"/>
      <c r="DB8" s="167"/>
      <c r="DC8" s="167"/>
      <c r="DD8" s="167"/>
      <c r="DE8" s="167"/>
      <c r="DF8" s="167"/>
      <c r="DG8" s="167"/>
      <c r="DH8" s="167"/>
      <c r="DI8" s="167"/>
      <c r="DJ8" s="167"/>
      <c r="DK8" s="167"/>
      <c r="DL8" s="167"/>
      <c r="DM8" s="167"/>
      <c r="DN8" s="167"/>
      <c r="DO8" s="167"/>
      <c r="DP8" s="167"/>
      <c r="DQ8" s="167"/>
      <c r="DR8" s="167"/>
      <c r="DS8" s="167"/>
      <c r="DT8" s="167"/>
      <c r="DU8" s="167"/>
      <c r="DV8" s="167"/>
      <c r="DW8" s="167"/>
      <c r="DX8" s="167"/>
      <c r="DY8" s="167"/>
      <c r="DZ8" s="167"/>
      <c r="EA8" s="167"/>
      <c r="EB8" s="167"/>
    </row>
    <row r="9" spans="1:132" ht="15.75" x14ac:dyDescent="0.25">
      <c r="A9" s="156" t="s">
        <v>667</v>
      </c>
      <c r="B9" s="157" t="s">
        <v>668</v>
      </c>
      <c r="C9" s="165">
        <v>3.78</v>
      </c>
      <c r="D9" s="165">
        <v>3.78</v>
      </c>
      <c r="E9" s="157" t="s">
        <v>527</v>
      </c>
      <c r="F9" s="159"/>
      <c r="H9" s="133"/>
      <c r="I9" s="162"/>
      <c r="J9" s="162"/>
      <c r="K9" s="162"/>
      <c r="L9" s="162"/>
      <c r="M9" s="166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67"/>
      <c r="DB9" s="167"/>
      <c r="DC9" s="167"/>
      <c r="DD9" s="167"/>
      <c r="DE9" s="167"/>
      <c r="DF9" s="167"/>
      <c r="DG9" s="167"/>
      <c r="DH9" s="167"/>
      <c r="DI9" s="167"/>
      <c r="DJ9" s="167"/>
      <c r="DK9" s="167"/>
      <c r="DL9" s="167"/>
      <c r="DM9" s="167"/>
      <c r="DN9" s="167"/>
      <c r="DO9" s="167"/>
      <c r="DP9" s="167"/>
      <c r="DQ9" s="167"/>
      <c r="DR9" s="167"/>
      <c r="DS9" s="167"/>
      <c r="DT9" s="167"/>
      <c r="DU9" s="167"/>
      <c r="DV9" s="167"/>
      <c r="DW9" s="167"/>
      <c r="DX9" s="167"/>
      <c r="DY9" s="167"/>
      <c r="DZ9" s="167"/>
      <c r="EA9" s="167"/>
      <c r="EB9" s="167"/>
    </row>
    <row r="10" spans="1:132" ht="15" x14ac:dyDescent="0.2">
      <c r="A10" s="156" t="s">
        <v>669</v>
      </c>
      <c r="B10" s="168" t="s">
        <v>670</v>
      </c>
      <c r="C10" s="165">
        <v>2</v>
      </c>
      <c r="D10" s="165">
        <v>2</v>
      </c>
      <c r="E10" s="168" t="s">
        <v>671</v>
      </c>
      <c r="F10" s="159"/>
      <c r="H10" s="133"/>
      <c r="I10" s="162"/>
      <c r="J10" s="162"/>
      <c r="K10" s="162"/>
      <c r="L10" s="162"/>
      <c r="M10" s="162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  <c r="DO10" s="135"/>
      <c r="DP10" s="135"/>
      <c r="DQ10" s="135"/>
      <c r="DR10" s="135"/>
      <c r="DS10" s="135"/>
      <c r="DT10" s="135"/>
      <c r="DU10" s="135"/>
      <c r="DV10" s="135"/>
      <c r="DW10" s="135"/>
      <c r="DX10" s="135"/>
      <c r="DY10" s="135"/>
      <c r="DZ10" s="135"/>
      <c r="EA10" s="135"/>
      <c r="EB10" s="135"/>
    </row>
    <row r="11" spans="1:132" ht="15" x14ac:dyDescent="0.2">
      <c r="A11" s="156" t="s">
        <v>672</v>
      </c>
      <c r="B11" s="168" t="s">
        <v>673</v>
      </c>
      <c r="C11" s="158">
        <v>80</v>
      </c>
      <c r="D11" s="158">
        <v>80</v>
      </c>
      <c r="E11" s="168" t="s">
        <v>391</v>
      </c>
      <c r="F11" s="159" t="s">
        <v>674</v>
      </c>
      <c r="H11" s="133"/>
      <c r="I11" s="162"/>
      <c r="J11" s="162"/>
      <c r="K11" s="162"/>
      <c r="L11" s="162"/>
      <c r="M11" s="162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  <c r="CT11" s="135"/>
      <c r="CU11" s="135"/>
      <c r="CV11" s="135"/>
      <c r="CW11" s="135"/>
      <c r="CX11" s="135"/>
      <c r="CY11" s="135"/>
      <c r="CZ11" s="135"/>
      <c r="DA11" s="135"/>
      <c r="DB11" s="135"/>
      <c r="DC11" s="135"/>
      <c r="DD11" s="135"/>
      <c r="DE11" s="135"/>
      <c r="DF11" s="135"/>
      <c r="DG11" s="135"/>
      <c r="DH11" s="135"/>
      <c r="DI11" s="135"/>
      <c r="DJ11" s="135"/>
      <c r="DK11" s="135"/>
      <c r="DL11" s="135"/>
      <c r="DM11" s="135"/>
      <c r="DN11" s="135"/>
      <c r="DO11" s="135"/>
      <c r="DP11" s="135"/>
      <c r="DQ11" s="135"/>
      <c r="DR11" s="135"/>
      <c r="DS11" s="135"/>
      <c r="DT11" s="135"/>
      <c r="DU11" s="135"/>
      <c r="DV11" s="135"/>
      <c r="DW11" s="135"/>
      <c r="DX11" s="135"/>
      <c r="DY11" s="135"/>
      <c r="DZ11" s="135"/>
      <c r="EA11" s="135"/>
      <c r="EB11" s="135"/>
    </row>
    <row r="12" spans="1:132" ht="15" x14ac:dyDescent="0.2">
      <c r="A12" s="156" t="s">
        <v>675</v>
      </c>
      <c r="B12" s="168" t="s">
        <v>676</v>
      </c>
      <c r="C12" s="158">
        <v>90</v>
      </c>
      <c r="D12" s="158">
        <v>90</v>
      </c>
      <c r="E12" s="168" t="s">
        <v>391</v>
      </c>
      <c r="F12" s="159" t="s">
        <v>674</v>
      </c>
      <c r="H12" s="133"/>
      <c r="I12" s="162"/>
      <c r="J12" s="162"/>
      <c r="K12" s="162"/>
      <c r="L12" s="162"/>
      <c r="M12" s="162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  <c r="CT12" s="135"/>
      <c r="CU12" s="135"/>
      <c r="CV12" s="135"/>
      <c r="CW12" s="135"/>
      <c r="CX12" s="135"/>
      <c r="CY12" s="135"/>
      <c r="CZ12" s="135"/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</row>
    <row r="13" spans="1:132" ht="15" x14ac:dyDescent="0.2">
      <c r="A13" s="156" t="s">
        <v>677</v>
      </c>
      <c r="B13" s="168" t="s">
        <v>678</v>
      </c>
      <c r="C13" s="158">
        <v>97</v>
      </c>
      <c r="D13" s="158">
        <v>97</v>
      </c>
      <c r="E13" s="168" t="s">
        <v>391</v>
      </c>
      <c r="F13" s="159" t="s">
        <v>679</v>
      </c>
      <c r="H13" s="133"/>
      <c r="I13" s="162"/>
      <c r="J13" s="162"/>
      <c r="K13" s="162"/>
      <c r="L13" s="162"/>
      <c r="M13" s="162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  <c r="CT13" s="135"/>
      <c r="CU13" s="135"/>
      <c r="CV13" s="135"/>
      <c r="CW13" s="135"/>
      <c r="CX13" s="135"/>
      <c r="CY13" s="135"/>
      <c r="CZ13" s="135"/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</row>
    <row r="14" spans="1:132" ht="15" x14ac:dyDescent="0.2">
      <c r="A14" s="156" t="s">
        <v>283</v>
      </c>
      <c r="B14" s="168" t="s">
        <v>680</v>
      </c>
      <c r="C14" s="158">
        <v>90</v>
      </c>
      <c r="D14" s="158">
        <v>90</v>
      </c>
      <c r="E14" s="168" t="s">
        <v>391</v>
      </c>
      <c r="F14" s="159" t="s">
        <v>681</v>
      </c>
      <c r="H14" s="133"/>
      <c r="I14" s="162"/>
      <c r="J14" s="162"/>
      <c r="K14" s="162"/>
      <c r="L14" s="162"/>
      <c r="M14" s="162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  <c r="CT14" s="135"/>
      <c r="CU14" s="135"/>
      <c r="CV14" s="135"/>
      <c r="CW14" s="135"/>
      <c r="CX14" s="135"/>
      <c r="CY14" s="135"/>
      <c r="CZ14" s="135"/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</row>
    <row r="15" spans="1:132" ht="15" x14ac:dyDescent="0.2">
      <c r="A15" s="156"/>
      <c r="B15" s="157"/>
      <c r="C15" s="169"/>
      <c r="D15" s="169"/>
      <c r="E15" s="157"/>
      <c r="F15" s="159"/>
      <c r="H15" s="133"/>
      <c r="I15" s="162"/>
      <c r="J15" s="162"/>
      <c r="K15" s="162"/>
      <c r="L15" s="162"/>
      <c r="M15" s="162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  <c r="BI15" s="133"/>
      <c r="BJ15" s="133"/>
      <c r="BK15" s="133"/>
      <c r="BL15" s="133"/>
      <c r="BM15" s="133"/>
      <c r="BN15" s="133"/>
      <c r="BO15" s="133"/>
      <c r="BP15" s="133"/>
      <c r="BQ15" s="133"/>
      <c r="BR15" s="133"/>
      <c r="BS15" s="133"/>
      <c r="BT15" s="133"/>
      <c r="BU15" s="133"/>
      <c r="BV15" s="133"/>
      <c r="BW15" s="133"/>
      <c r="BX15" s="133"/>
      <c r="BY15" s="133"/>
      <c r="BZ15" s="133"/>
      <c r="CA15" s="133"/>
      <c r="CB15" s="133"/>
      <c r="CC15" s="133"/>
      <c r="CD15" s="133"/>
      <c r="CE15" s="133"/>
      <c r="CF15" s="133"/>
      <c r="CG15" s="133"/>
      <c r="CH15" s="133"/>
      <c r="CI15" s="133"/>
      <c r="CJ15" s="133"/>
      <c r="CK15" s="133"/>
      <c r="CL15" s="133"/>
      <c r="CM15" s="133"/>
      <c r="CN15" s="133"/>
      <c r="CO15" s="133"/>
      <c r="CP15" s="133"/>
      <c r="CQ15" s="133"/>
      <c r="CR15" s="133"/>
      <c r="CS15" s="133"/>
      <c r="CT15" s="133"/>
      <c r="CU15" s="133"/>
      <c r="CV15" s="133"/>
      <c r="CW15" s="133"/>
      <c r="CX15" s="133"/>
      <c r="CY15" s="133"/>
      <c r="CZ15" s="133"/>
      <c r="DA15" s="133"/>
      <c r="DB15" s="133"/>
      <c r="DC15" s="133"/>
      <c r="DD15" s="133"/>
      <c r="DE15" s="133"/>
      <c r="DF15" s="133"/>
      <c r="DG15" s="133"/>
      <c r="DH15" s="133"/>
      <c r="DI15" s="133"/>
      <c r="DJ15" s="133"/>
      <c r="DK15" s="133"/>
      <c r="DL15" s="133"/>
      <c r="DM15" s="133"/>
      <c r="DN15" s="133"/>
      <c r="DO15" s="133"/>
      <c r="DP15" s="133"/>
      <c r="DQ15" s="133"/>
      <c r="DR15" s="133"/>
      <c r="DS15" s="133"/>
      <c r="DT15" s="133"/>
      <c r="DU15" s="133"/>
      <c r="DV15" s="133"/>
      <c r="DW15" s="133"/>
      <c r="DX15" s="133"/>
      <c r="DY15" s="133"/>
      <c r="DZ15" s="133"/>
      <c r="EA15" s="133"/>
      <c r="EB15" s="133"/>
    </row>
    <row r="16" spans="1:132" ht="15.75" x14ac:dyDescent="0.25">
      <c r="A16" s="171" t="s">
        <v>682</v>
      </c>
      <c r="B16" s="157"/>
      <c r="C16" s="157"/>
      <c r="D16" s="157"/>
      <c r="E16" s="157"/>
      <c r="F16" s="159"/>
      <c r="H16" s="133"/>
      <c r="I16" s="162"/>
      <c r="J16" s="162"/>
      <c r="K16" s="162"/>
      <c r="L16" s="162"/>
      <c r="M16" s="162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  <c r="BO16" s="133"/>
      <c r="BP16" s="133"/>
      <c r="BQ16" s="133"/>
      <c r="BR16" s="133"/>
      <c r="BS16" s="133"/>
      <c r="BT16" s="133"/>
      <c r="BU16" s="133"/>
      <c r="BV16" s="133"/>
      <c r="BW16" s="133"/>
      <c r="BX16" s="133"/>
      <c r="BY16" s="133"/>
      <c r="BZ16" s="133"/>
      <c r="CA16" s="133"/>
      <c r="CB16" s="133"/>
      <c r="CC16" s="133"/>
      <c r="CD16" s="133"/>
      <c r="CE16" s="133"/>
      <c r="CF16" s="133"/>
      <c r="CG16" s="133"/>
      <c r="CH16" s="133"/>
      <c r="CI16" s="133"/>
      <c r="CJ16" s="133"/>
      <c r="CK16" s="133"/>
      <c r="CL16" s="133"/>
      <c r="CM16" s="133"/>
      <c r="CN16" s="133"/>
      <c r="CO16" s="133"/>
      <c r="CP16" s="133"/>
      <c r="CQ16" s="133"/>
      <c r="CR16" s="133"/>
      <c r="CS16" s="133"/>
      <c r="CT16" s="133"/>
      <c r="CU16" s="133"/>
      <c r="CV16" s="133"/>
      <c r="CW16" s="133"/>
      <c r="CX16" s="133"/>
      <c r="CY16" s="133"/>
      <c r="CZ16" s="133"/>
      <c r="DA16" s="133"/>
      <c r="DB16" s="133"/>
      <c r="DC16" s="133"/>
      <c r="DD16" s="133"/>
      <c r="DE16" s="133"/>
      <c r="DF16" s="133"/>
      <c r="DG16" s="133"/>
      <c r="DH16" s="133"/>
      <c r="DI16" s="133"/>
      <c r="DJ16" s="133"/>
      <c r="DK16" s="133"/>
      <c r="DL16" s="133"/>
      <c r="DM16" s="133"/>
      <c r="DN16" s="133"/>
      <c r="DO16" s="133"/>
      <c r="DP16" s="133"/>
      <c r="DQ16" s="133"/>
      <c r="DR16" s="133"/>
      <c r="DS16" s="133"/>
      <c r="DT16" s="133"/>
      <c r="DU16" s="133"/>
      <c r="DV16" s="133"/>
      <c r="DW16" s="133"/>
      <c r="DX16" s="133"/>
      <c r="DY16" s="133"/>
      <c r="DZ16" s="133"/>
      <c r="EA16" s="133"/>
      <c r="EB16" s="133"/>
    </row>
    <row r="17" spans="1:132" ht="30" x14ac:dyDescent="0.2">
      <c r="A17" s="156" t="s">
        <v>683</v>
      </c>
      <c r="B17" s="157" t="s">
        <v>684</v>
      </c>
      <c r="C17" s="160">
        <f>(1030*Php*0.746) + IF(Ctt=1,49500,IF(Ctt=2,-7500,96400))</f>
        <v>157841.58000000002</v>
      </c>
      <c r="D17" s="160">
        <f>(1030*Php*0.746) + IF(Ctt=1,49500,IF(Ctt=2,-7500,96400))</f>
        <v>203176</v>
      </c>
      <c r="E17" s="157" t="s">
        <v>554</v>
      </c>
      <c r="F17" s="172" t="s">
        <v>685</v>
      </c>
      <c r="H17" s="133"/>
      <c r="I17" s="162"/>
      <c r="J17" s="162"/>
      <c r="K17" s="162"/>
      <c r="L17" s="162"/>
      <c r="M17" s="162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3"/>
      <c r="BU17" s="133"/>
      <c r="BV17" s="133"/>
      <c r="BW17" s="133"/>
      <c r="BX17" s="133"/>
      <c r="BY17" s="133"/>
      <c r="BZ17" s="133"/>
      <c r="CA17" s="133"/>
      <c r="CB17" s="133"/>
      <c r="CC17" s="133"/>
      <c r="CD17" s="133"/>
      <c r="CE17" s="133"/>
      <c r="CF17" s="133"/>
      <c r="CG17" s="133"/>
      <c r="CH17" s="133"/>
      <c r="CI17" s="133"/>
      <c r="CJ17" s="133"/>
      <c r="CK17" s="133"/>
      <c r="CL17" s="133"/>
      <c r="CM17" s="133"/>
      <c r="CN17" s="133"/>
      <c r="CO17" s="133"/>
      <c r="CP17" s="133"/>
      <c r="CQ17" s="133"/>
      <c r="CR17" s="133"/>
      <c r="CS17" s="133"/>
      <c r="CT17" s="133"/>
      <c r="CU17" s="133"/>
      <c r="CV17" s="133"/>
      <c r="CW17" s="133"/>
      <c r="CX17" s="133"/>
      <c r="CY17" s="133"/>
      <c r="CZ17" s="133"/>
      <c r="DA17" s="133"/>
      <c r="DB17" s="133"/>
      <c r="DC17" s="133"/>
      <c r="DD17" s="133"/>
      <c r="DE17" s="133"/>
      <c r="DF17" s="133"/>
      <c r="DG17" s="133"/>
      <c r="DH17" s="133"/>
      <c r="DI17" s="133"/>
      <c r="DJ17" s="133"/>
      <c r="DK17" s="133"/>
      <c r="DL17" s="133"/>
      <c r="DM17" s="133"/>
      <c r="DN17" s="133"/>
      <c r="DO17" s="133"/>
      <c r="DP17" s="133"/>
      <c r="DQ17" s="133"/>
      <c r="DR17" s="133"/>
      <c r="DS17" s="133"/>
      <c r="DT17" s="133"/>
      <c r="DU17" s="133"/>
      <c r="DV17" s="133"/>
      <c r="DW17" s="133"/>
      <c r="DX17" s="133"/>
      <c r="DY17" s="133"/>
      <c r="DZ17" s="133"/>
      <c r="EA17" s="133"/>
      <c r="EB17" s="133"/>
    </row>
    <row r="18" spans="1:132" ht="15" x14ac:dyDescent="0.2">
      <c r="A18" s="156" t="s">
        <v>686</v>
      </c>
      <c r="B18" s="168" t="s">
        <v>687</v>
      </c>
      <c r="C18" s="169">
        <f>IF(Ctt=1,Php,Php*Epto/100)</f>
        <v>141</v>
      </c>
      <c r="D18" s="169">
        <f>IF(Ctt=1,Php,Php*Epto/100)</f>
        <v>200</v>
      </c>
      <c r="E18" s="168" t="s">
        <v>382</v>
      </c>
      <c r="F18" s="173" t="s">
        <v>688</v>
      </c>
      <c r="H18" s="133"/>
      <c r="I18" s="162"/>
      <c r="J18" s="162"/>
      <c r="K18" s="162"/>
      <c r="L18" s="162"/>
      <c r="M18" s="162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  <c r="DZ18" s="170"/>
      <c r="EA18" s="170"/>
      <c r="EB18" s="170"/>
    </row>
    <row r="19" spans="1:132" ht="45" x14ac:dyDescent="0.2">
      <c r="A19" s="156" t="s">
        <v>559</v>
      </c>
      <c r="B19" s="157" t="s">
        <v>689</v>
      </c>
      <c r="C19" s="174">
        <f>100*IF(Phppto*0.746&gt;112,(0.976-0.119*Ny^0.5-0.0019*H^0.5)^2,(0.942-0.1*Ny^0.5-0.0008*H^0.5)^2)</f>
        <v>46.126167682285519</v>
      </c>
      <c r="D19" s="174">
        <f>100*IF(Phppto*0.746&gt;112,(0.976-0.119*Ny^0.5-0.0019*H^0.5)^2,(0.942-0.1*Ny^0.5-0.0008*H^0.5)^2)</f>
        <v>40.700625104803855</v>
      </c>
      <c r="E19" s="157" t="s">
        <v>391</v>
      </c>
      <c r="F19" s="175" t="s">
        <v>690</v>
      </c>
      <c r="H19" s="133"/>
      <c r="I19" s="133"/>
      <c r="J19" s="133"/>
      <c r="K19" s="133"/>
      <c r="L19" s="133"/>
      <c r="M19" s="133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  <c r="BA19" s="176"/>
      <c r="BB19" s="176"/>
      <c r="BC19" s="176"/>
      <c r="BD19" s="176"/>
      <c r="BE19" s="176"/>
      <c r="BF19" s="176"/>
      <c r="BG19" s="176"/>
      <c r="BH19" s="176"/>
      <c r="BI19" s="176"/>
      <c r="BJ19" s="176"/>
      <c r="BK19" s="176"/>
      <c r="BL19" s="176"/>
      <c r="BM19" s="176"/>
      <c r="BN19" s="176"/>
      <c r="BO19" s="176"/>
      <c r="BP19" s="176"/>
      <c r="BQ19" s="176"/>
      <c r="BR19" s="176"/>
      <c r="BS19" s="176"/>
      <c r="BT19" s="176"/>
      <c r="BU19" s="176"/>
      <c r="BV19" s="176"/>
      <c r="BW19" s="176"/>
      <c r="BX19" s="176"/>
      <c r="BY19" s="176"/>
      <c r="BZ19" s="176"/>
      <c r="CA19" s="176"/>
      <c r="CB19" s="176"/>
      <c r="CC19" s="176"/>
      <c r="CD19" s="176"/>
      <c r="CE19" s="176"/>
      <c r="CF19" s="176"/>
      <c r="CG19" s="176"/>
      <c r="CH19" s="176"/>
      <c r="CI19" s="176"/>
      <c r="CJ19" s="176"/>
      <c r="CK19" s="176"/>
      <c r="CL19" s="176"/>
      <c r="CM19" s="176"/>
      <c r="CN19" s="176"/>
      <c r="CO19" s="176"/>
      <c r="CP19" s="176"/>
      <c r="CQ19" s="176"/>
      <c r="CR19" s="176"/>
      <c r="CS19" s="176"/>
      <c r="CT19" s="176"/>
      <c r="CU19" s="176"/>
      <c r="CV19" s="176"/>
      <c r="CW19" s="176"/>
      <c r="CX19" s="176"/>
      <c r="CY19" s="176"/>
      <c r="CZ19" s="176"/>
      <c r="DA19" s="176"/>
      <c r="DB19" s="176"/>
      <c r="DC19" s="176"/>
      <c r="DD19" s="176"/>
      <c r="DE19" s="176"/>
      <c r="DF19" s="176"/>
      <c r="DG19" s="176"/>
      <c r="DH19" s="176"/>
      <c r="DI19" s="176"/>
      <c r="DJ19" s="176"/>
      <c r="DK19" s="176"/>
      <c r="DL19" s="176"/>
      <c r="DM19" s="176"/>
      <c r="DN19" s="176"/>
      <c r="DO19" s="176"/>
      <c r="DP19" s="176"/>
      <c r="DQ19" s="176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  <c r="EB19" s="176"/>
    </row>
    <row r="20" spans="1:132" ht="15" x14ac:dyDescent="0.2">
      <c r="A20" s="156" t="s">
        <v>691</v>
      </c>
      <c r="B20" s="157" t="s">
        <v>692</v>
      </c>
      <c r="C20" s="169">
        <f>RV/100*P</f>
        <v>72806.271863168848</v>
      </c>
      <c r="D20" s="169">
        <f>RV/100*P</f>
        <v>82693.902062936279</v>
      </c>
      <c r="E20" s="157" t="s">
        <v>554</v>
      </c>
      <c r="F20" s="159" t="s">
        <v>693</v>
      </c>
      <c r="H20" s="133"/>
      <c r="I20" s="133"/>
      <c r="J20" s="133"/>
      <c r="K20" s="133"/>
      <c r="L20" s="133"/>
      <c r="M20" s="133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170"/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/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/>
      <c r="DQ20" s="170"/>
      <c r="DR20" s="170"/>
      <c r="DS20" s="170"/>
      <c r="DT20" s="170"/>
      <c r="DU20" s="170"/>
      <c r="DV20" s="170"/>
      <c r="DW20" s="170"/>
      <c r="DX20" s="170"/>
      <c r="DY20" s="170"/>
      <c r="DZ20" s="170"/>
      <c r="EA20" s="170"/>
      <c r="EB20" s="170"/>
    </row>
    <row r="21" spans="1:132" ht="15" x14ac:dyDescent="0.2">
      <c r="A21" s="156" t="s">
        <v>694</v>
      </c>
      <c r="B21" s="157" t="s">
        <v>695</v>
      </c>
      <c r="C21" s="169">
        <f>P-SV/(1+i)^Ny</f>
        <v>103512.41896399134</v>
      </c>
      <c r="D21" s="169">
        <f>P-SV/(1+i)^Ny</f>
        <v>141468.53707267556</v>
      </c>
      <c r="E21" s="157" t="s">
        <v>696</v>
      </c>
      <c r="F21" s="173" t="s">
        <v>697</v>
      </c>
      <c r="H21" s="133"/>
      <c r="I21" s="133"/>
      <c r="J21" s="133"/>
      <c r="K21" s="133"/>
      <c r="L21" s="133"/>
      <c r="M21" s="133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  <c r="DD21" s="170"/>
      <c r="DE21" s="170"/>
      <c r="DF21" s="170"/>
      <c r="DG21" s="170"/>
      <c r="DH21" s="170"/>
      <c r="DI21" s="170"/>
      <c r="DJ21" s="170"/>
      <c r="DK21" s="170"/>
      <c r="DL21" s="170"/>
      <c r="DM21" s="170"/>
      <c r="DN21" s="170"/>
      <c r="DO21" s="170"/>
      <c r="DP21" s="170"/>
      <c r="DQ21" s="170"/>
      <c r="DR21" s="170"/>
      <c r="DS21" s="170"/>
      <c r="DT21" s="170"/>
      <c r="DU21" s="170"/>
      <c r="DV21" s="170"/>
      <c r="DW21" s="170"/>
      <c r="DX21" s="170"/>
      <c r="DY21" s="170"/>
      <c r="DZ21" s="170"/>
      <c r="EA21" s="170"/>
      <c r="EB21" s="170"/>
    </row>
    <row r="22" spans="1:132" ht="15.75" x14ac:dyDescent="0.25">
      <c r="A22" s="156" t="s">
        <v>613</v>
      </c>
      <c r="B22" s="157" t="s">
        <v>614</v>
      </c>
      <c r="C22" s="169">
        <f>G64</f>
        <v>2462.7205136556859</v>
      </c>
      <c r="D22" s="169">
        <f>H64</f>
        <v>4564.8720219273719</v>
      </c>
      <c r="E22" s="157" t="s">
        <v>696</v>
      </c>
      <c r="F22" s="173" t="s">
        <v>698</v>
      </c>
      <c r="H22" s="133"/>
      <c r="I22" s="155"/>
      <c r="J22" s="133"/>
      <c r="K22" s="133"/>
      <c r="L22" s="133"/>
      <c r="M22" s="133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  <c r="DZ22" s="170"/>
      <c r="EA22" s="170"/>
      <c r="EB22" s="170"/>
    </row>
    <row r="23" spans="1:132" ht="15.75" x14ac:dyDescent="0.25">
      <c r="A23" s="156" t="s">
        <v>699</v>
      </c>
      <c r="B23" s="157" t="s">
        <v>700</v>
      </c>
      <c r="C23" s="177">
        <f>1  -  (Sp/100-1)*(0.45*Pp/100 - 0.877)</f>
        <v>0.94830000000000003</v>
      </c>
      <c r="D23" s="177">
        <f>1  -  (Sp/100-1)*(0.45*Pp/100 - 0.877)</f>
        <v>0.94830000000000003</v>
      </c>
      <c r="E23" s="157" t="s">
        <v>92</v>
      </c>
      <c r="F23" s="173" t="s">
        <v>701</v>
      </c>
      <c r="H23" s="133"/>
      <c r="I23" s="155"/>
      <c r="J23" s="133"/>
      <c r="K23" s="133"/>
      <c r="L23" s="133"/>
      <c r="M23" s="133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0"/>
      <c r="EB23" s="170"/>
    </row>
    <row r="24" spans="1:132" ht="45" x14ac:dyDescent="0.2">
      <c r="A24" s="156" t="s">
        <v>702</v>
      </c>
      <c r="B24" s="157" t="s">
        <v>703</v>
      </c>
      <c r="C24" s="174">
        <f>(Phppto*0.746*(Pp/100)*(0.22+0.096/(Pp/100))*PTM  * Afc/100 ) / 3.78</f>
        <v>6.9622967359238093</v>
      </c>
      <c r="D24" s="174">
        <f>(Phppto*0.746*(Pp/100)*(0.22+0.096/(Pp/100))*PTM  * Afc/100 ) / 3.78</f>
        <v>9.8755982069841259</v>
      </c>
      <c r="E24" s="157" t="s">
        <v>598</v>
      </c>
      <c r="F24" s="175" t="s">
        <v>704</v>
      </c>
      <c r="H24" s="162"/>
      <c r="I24" s="133"/>
      <c r="J24" s="133"/>
      <c r="K24" s="133"/>
      <c r="L24" s="133"/>
      <c r="M24" s="133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</row>
    <row r="25" spans="1:132" ht="15" x14ac:dyDescent="0.2">
      <c r="A25" s="156" t="s">
        <v>705</v>
      </c>
      <c r="B25" s="157" t="s">
        <v>706</v>
      </c>
      <c r="C25" s="178">
        <f>(0.00059*Phppto*0.746+0.02169 ) / 3.78</f>
        <v>2.2156015873015876E-2</v>
      </c>
      <c r="D25" s="178">
        <f>(0.00059*Phppto*0.746+0.02169 ) / 3.78</f>
        <v>2.9025925925925931E-2</v>
      </c>
      <c r="E25" s="157" t="s">
        <v>598</v>
      </c>
      <c r="F25" s="179" t="s">
        <v>707</v>
      </c>
      <c r="G25" s="168"/>
      <c r="H25" s="133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  <c r="BI25" s="162"/>
      <c r="BJ25" s="162"/>
      <c r="BK25" s="162"/>
      <c r="BL25" s="162"/>
      <c r="BM25" s="162"/>
      <c r="BN25" s="162"/>
      <c r="BO25" s="162"/>
      <c r="BP25" s="162"/>
      <c r="BQ25" s="162"/>
      <c r="BR25" s="162"/>
      <c r="BS25" s="162"/>
      <c r="BT25" s="162"/>
      <c r="BU25" s="162"/>
      <c r="BV25" s="162"/>
      <c r="BW25" s="162"/>
      <c r="BX25" s="162"/>
      <c r="BY25" s="162"/>
      <c r="BZ25" s="162"/>
      <c r="CA25" s="162"/>
      <c r="CB25" s="162"/>
      <c r="CC25" s="162"/>
      <c r="CD25" s="162"/>
      <c r="CE25" s="162"/>
      <c r="CF25" s="162"/>
      <c r="CG25" s="162"/>
      <c r="CH25" s="162"/>
      <c r="CI25" s="162"/>
      <c r="CJ25" s="162"/>
      <c r="CK25" s="162"/>
      <c r="CL25" s="162"/>
      <c r="CM25" s="162"/>
      <c r="CN25" s="162"/>
      <c r="CO25" s="162"/>
      <c r="CP25" s="162"/>
      <c r="CQ25" s="162"/>
      <c r="CR25" s="162"/>
      <c r="CS25" s="162"/>
      <c r="CT25" s="162"/>
      <c r="CU25" s="162"/>
      <c r="CV25" s="162"/>
      <c r="CW25" s="162"/>
      <c r="CX25" s="162"/>
      <c r="CY25" s="162"/>
      <c r="CZ25" s="162"/>
      <c r="DA25" s="162"/>
      <c r="DB25" s="162"/>
      <c r="DC25" s="162"/>
      <c r="DD25" s="162"/>
      <c r="DE25" s="162"/>
      <c r="DF25" s="162"/>
      <c r="DG25" s="162"/>
      <c r="DH25" s="162"/>
      <c r="DI25" s="162"/>
      <c r="DJ25" s="162"/>
      <c r="DK25" s="162"/>
      <c r="DL25" s="162"/>
      <c r="DM25" s="162"/>
      <c r="DN25" s="162"/>
      <c r="DO25" s="162"/>
      <c r="DP25" s="162"/>
      <c r="DQ25" s="162"/>
      <c r="DR25" s="162"/>
      <c r="DS25" s="162"/>
      <c r="DT25" s="162"/>
      <c r="DU25" s="162"/>
      <c r="DV25" s="162"/>
      <c r="DW25" s="162"/>
      <c r="DX25" s="162"/>
      <c r="DY25" s="162"/>
      <c r="DZ25" s="162"/>
      <c r="EA25" s="162"/>
      <c r="EB25" s="162"/>
    </row>
    <row r="26" spans="1:132" ht="15" x14ac:dyDescent="0.2">
      <c r="A26" s="156" t="s">
        <v>580</v>
      </c>
      <c r="B26" s="157" t="s">
        <v>708</v>
      </c>
      <c r="C26" s="177">
        <f>0.02*F</f>
        <v>0.13924593471847618</v>
      </c>
      <c r="D26" s="177">
        <f>0.02*F</f>
        <v>0.19751196413968253</v>
      </c>
      <c r="E26" s="157" t="s">
        <v>598</v>
      </c>
      <c r="F26" s="159" t="s">
        <v>709</v>
      </c>
      <c r="G26" s="168"/>
      <c r="H26" s="133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  <c r="CW26" s="162"/>
      <c r="CX26" s="162"/>
      <c r="CY26" s="162"/>
      <c r="CZ26" s="162"/>
      <c r="DA26" s="162"/>
      <c r="DB26" s="162"/>
      <c r="DC26" s="162"/>
      <c r="DD26" s="162"/>
      <c r="DE26" s="162"/>
      <c r="DF26" s="162"/>
      <c r="DG26" s="162"/>
      <c r="DH26" s="162"/>
      <c r="DI26" s="162"/>
      <c r="DJ26" s="162"/>
      <c r="DK26" s="162"/>
      <c r="DL26" s="162"/>
      <c r="DM26" s="162"/>
      <c r="DN26" s="162"/>
      <c r="DO26" s="162"/>
      <c r="DP26" s="162"/>
      <c r="DQ26" s="162"/>
      <c r="DR26" s="162"/>
      <c r="DS26" s="162"/>
      <c r="DT26" s="162"/>
      <c r="DU26" s="162"/>
      <c r="DV26" s="162"/>
      <c r="DW26" s="162"/>
      <c r="DX26" s="162"/>
      <c r="DY26" s="162"/>
      <c r="DZ26" s="162"/>
      <c r="EA26" s="162"/>
      <c r="EB26" s="162"/>
    </row>
    <row r="27" spans="1:132" ht="15.75" x14ac:dyDescent="0.25">
      <c r="A27" s="156" t="s">
        <v>45</v>
      </c>
      <c r="B27" s="157" t="s">
        <v>710</v>
      </c>
      <c r="C27" s="169">
        <f>F*H*Pf</f>
        <v>13158.740830895998</v>
      </c>
      <c r="D27" s="169">
        <f>F*H*Pf</f>
        <v>22397.856733439996</v>
      </c>
      <c r="E27" s="157" t="s">
        <v>574</v>
      </c>
      <c r="F27" s="173" t="s">
        <v>711</v>
      </c>
      <c r="H27" s="133"/>
      <c r="I27" s="162"/>
      <c r="J27" s="166"/>
      <c r="K27" s="162"/>
      <c r="L27" s="162"/>
      <c r="M27" s="162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  <c r="DZ27" s="170"/>
      <c r="EA27" s="170"/>
      <c r="EB27" s="170"/>
    </row>
    <row r="28" spans="1:132" ht="15" x14ac:dyDescent="0.2">
      <c r="A28" s="156" t="s">
        <v>712</v>
      </c>
      <c r="B28" s="157" t="s">
        <v>713</v>
      </c>
      <c r="C28" s="177">
        <f>4*Pf</f>
        <v>15.12</v>
      </c>
      <c r="D28" s="177">
        <f>4*Pf</f>
        <v>15.12</v>
      </c>
      <c r="E28" s="157" t="s">
        <v>714</v>
      </c>
      <c r="F28" s="173" t="s">
        <v>715</v>
      </c>
      <c r="H28" s="133"/>
      <c r="I28" s="162"/>
      <c r="J28" s="162"/>
      <c r="K28" s="162"/>
      <c r="L28" s="162"/>
      <c r="M28" s="162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</row>
    <row r="29" spans="1:132" ht="15.75" x14ac:dyDescent="0.25">
      <c r="A29" s="156" t="s">
        <v>716</v>
      </c>
      <c r="B29" s="157" t="s">
        <v>717</v>
      </c>
      <c r="C29" s="169">
        <f>L*H*PL</f>
        <v>167.49948000000001</v>
      </c>
      <c r="D29" s="169">
        <f>L*H*PL</f>
        <v>263.32320000000004</v>
      </c>
      <c r="E29" s="157" t="s">
        <v>574</v>
      </c>
      <c r="F29" s="173" t="s">
        <v>718</v>
      </c>
      <c r="H29" s="180"/>
      <c r="I29" s="162"/>
      <c r="J29" s="162"/>
      <c r="K29" s="162"/>
      <c r="L29" s="162"/>
      <c r="M29" s="162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</row>
    <row r="30" spans="1:132" ht="15" x14ac:dyDescent="0.2">
      <c r="A30" s="156" t="s">
        <v>502</v>
      </c>
      <c r="B30" s="157" t="s">
        <v>719</v>
      </c>
      <c r="C30" s="169">
        <f>D*Pd*H</f>
        <v>263.17481661791999</v>
      </c>
      <c r="D30" s="169">
        <f>D*Pd*H</f>
        <v>447.95713466879994</v>
      </c>
      <c r="E30" s="157" t="s">
        <v>574</v>
      </c>
      <c r="F30" s="173" t="s">
        <v>720</v>
      </c>
      <c r="H30" s="133"/>
      <c r="I30" s="162"/>
      <c r="J30" s="162"/>
      <c r="K30" s="162"/>
      <c r="L30" s="162"/>
      <c r="M30" s="162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</row>
    <row r="31" spans="1:132" ht="15" x14ac:dyDescent="0.2">
      <c r="A31" s="156" t="s">
        <v>721</v>
      </c>
      <c r="B31" s="168" t="s">
        <v>670</v>
      </c>
      <c r="C31" s="169">
        <f>TIH*P/100</f>
        <v>3156.8316000000004</v>
      </c>
      <c r="D31" s="169">
        <f>TIH*P/100</f>
        <v>4063.52</v>
      </c>
      <c r="E31" s="168" t="s">
        <v>574</v>
      </c>
      <c r="F31" s="173" t="s">
        <v>722</v>
      </c>
      <c r="H31" s="133"/>
      <c r="I31" s="162"/>
      <c r="J31" s="162"/>
      <c r="K31" s="162"/>
      <c r="L31" s="162"/>
      <c r="M31" s="162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</row>
    <row r="32" spans="1:132" ht="15" x14ac:dyDescent="0.2">
      <c r="A32" s="156"/>
      <c r="B32" s="157"/>
      <c r="C32" s="169"/>
      <c r="D32" s="169"/>
      <c r="E32" s="157"/>
      <c r="F32" s="173"/>
      <c r="H32" s="133"/>
      <c r="I32" s="162"/>
      <c r="J32" s="162"/>
      <c r="K32" s="162"/>
      <c r="L32" s="162"/>
      <c r="M32" s="162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</row>
    <row r="33" spans="1:132" ht="15.75" x14ac:dyDescent="0.25">
      <c r="A33" s="171" t="s">
        <v>723</v>
      </c>
      <c r="B33" s="157"/>
      <c r="C33" s="174"/>
      <c r="D33" s="174"/>
      <c r="E33" s="174"/>
      <c r="F33" s="159"/>
      <c r="H33" s="133"/>
      <c r="I33" s="133"/>
      <c r="J33" s="133"/>
      <c r="K33" s="133"/>
      <c r="L33" s="133"/>
      <c r="M33" s="133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  <c r="AZ33" s="176"/>
      <c r="BA33" s="176"/>
      <c r="BB33" s="176"/>
      <c r="BC33" s="176"/>
      <c r="BD33" s="176"/>
      <c r="BE33" s="176"/>
      <c r="BF33" s="176"/>
      <c r="BG33" s="176"/>
      <c r="BH33" s="176"/>
      <c r="BI33" s="176"/>
      <c r="BJ33" s="176"/>
      <c r="BK33" s="176"/>
      <c r="BL33" s="176"/>
      <c r="BM33" s="176"/>
      <c r="BN33" s="176"/>
      <c r="BO33" s="176"/>
      <c r="BP33" s="176"/>
      <c r="BQ33" s="176"/>
      <c r="BR33" s="176"/>
      <c r="BS33" s="176"/>
      <c r="BT33" s="176"/>
      <c r="BU33" s="176"/>
      <c r="BV33" s="176"/>
      <c r="BW33" s="176"/>
      <c r="BX33" s="176"/>
      <c r="BY33" s="176"/>
      <c r="BZ33" s="176"/>
      <c r="CA33" s="176"/>
      <c r="CB33" s="176"/>
      <c r="CC33" s="176"/>
      <c r="CD33" s="176"/>
      <c r="CE33" s="176"/>
      <c r="CF33" s="176"/>
      <c r="CG33" s="176"/>
      <c r="CH33" s="176"/>
      <c r="CI33" s="176"/>
      <c r="CJ33" s="176"/>
      <c r="CK33" s="176"/>
      <c r="CL33" s="176"/>
      <c r="CM33" s="176"/>
      <c r="CN33" s="176"/>
      <c r="CO33" s="176"/>
      <c r="CP33" s="176"/>
      <c r="CQ33" s="176"/>
      <c r="CR33" s="176"/>
      <c r="CS33" s="176"/>
      <c r="CT33" s="176"/>
      <c r="CU33" s="176"/>
      <c r="CV33" s="176"/>
      <c r="CW33" s="176"/>
      <c r="CX33" s="176"/>
      <c r="CY33" s="176"/>
      <c r="CZ33" s="176"/>
      <c r="DA33" s="176"/>
      <c r="DB33" s="176"/>
      <c r="DC33" s="176"/>
      <c r="DD33" s="176"/>
      <c r="DE33" s="176"/>
      <c r="DF33" s="176"/>
      <c r="DG33" s="176"/>
      <c r="DH33" s="176"/>
      <c r="DI33" s="176"/>
      <c r="DJ33" s="176"/>
      <c r="DK33" s="176"/>
      <c r="DL33" s="176"/>
      <c r="DM33" s="176"/>
      <c r="DN33" s="176"/>
      <c r="DO33" s="176"/>
      <c r="DP33" s="176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  <c r="EB33" s="176"/>
    </row>
    <row r="34" spans="1:132" ht="15" x14ac:dyDescent="0.2">
      <c r="A34" s="156" t="s">
        <v>724</v>
      </c>
      <c r="B34" s="157" t="s">
        <v>725</v>
      </c>
      <c r="C34" s="181">
        <f>PMT(i,Ny,-PV-RM)+TIHa</f>
        <v>24035.785262510079</v>
      </c>
      <c r="D34" s="181">
        <f>PMT(i,Ny,-PV-RM)+TIHa</f>
        <v>32834.65251931802</v>
      </c>
      <c r="E34" s="157" t="s">
        <v>574</v>
      </c>
      <c r="F34" s="182" t="s">
        <v>726</v>
      </c>
      <c r="H34" s="133"/>
      <c r="I34" s="133"/>
      <c r="J34" s="133"/>
      <c r="K34" s="133"/>
      <c r="L34" s="133"/>
      <c r="M34" s="13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</row>
    <row r="35" spans="1:132" ht="15" x14ac:dyDescent="0.2">
      <c r="A35" s="156" t="s">
        <v>727</v>
      </c>
      <c r="B35" s="157" t="s">
        <v>728</v>
      </c>
      <c r="C35" s="181">
        <f>FC+LC+DC</f>
        <v>13589.415127513919</v>
      </c>
      <c r="D35" s="181">
        <f>FC+LC+DC</f>
        <v>23109.137068108794</v>
      </c>
      <c r="E35" s="157" t="s">
        <v>574</v>
      </c>
      <c r="F35" s="182" t="s">
        <v>729</v>
      </c>
      <c r="H35" s="133"/>
      <c r="I35" s="133"/>
      <c r="J35" s="133"/>
      <c r="K35" s="133"/>
      <c r="L35" s="133"/>
      <c r="M35" s="13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</row>
    <row r="36" spans="1:132" ht="15.75" x14ac:dyDescent="0.25">
      <c r="A36" s="156" t="s">
        <v>730</v>
      </c>
      <c r="B36" s="157" t="s">
        <v>731</v>
      </c>
      <c r="C36" s="174">
        <f>(AC+FLC)/H</f>
        <v>75.250400780047983</v>
      </c>
      <c r="D36" s="174">
        <f>(AC+FLC)/H</f>
        <v>93.23964931237802</v>
      </c>
      <c r="E36" s="157" t="s">
        <v>524</v>
      </c>
      <c r="F36" s="184" t="s">
        <v>732</v>
      </c>
      <c r="H36" s="133"/>
      <c r="I36" s="155"/>
      <c r="J36" s="133"/>
      <c r="K36" s="133"/>
      <c r="L36" s="133"/>
      <c r="M36" s="133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  <c r="DP36" s="135"/>
      <c r="DQ36" s="135"/>
      <c r="DR36" s="135"/>
      <c r="DS36" s="135"/>
      <c r="DT36" s="135"/>
      <c r="DU36" s="135"/>
      <c r="DV36" s="135"/>
      <c r="DW36" s="135"/>
      <c r="DX36" s="135"/>
      <c r="DY36" s="135"/>
      <c r="DZ36" s="135"/>
      <c r="EA36" s="135"/>
      <c r="EB36" s="135"/>
    </row>
    <row r="37" spans="1:132" ht="15" x14ac:dyDescent="0.2">
      <c r="A37" s="185" t="s">
        <v>733</v>
      </c>
      <c r="B37" s="157" t="s">
        <v>734</v>
      </c>
      <c r="C37" s="174">
        <f>AC/H</f>
        <v>48.071570525020157</v>
      </c>
      <c r="D37" s="174">
        <f>AC/H</f>
        <v>54.724420865530035</v>
      </c>
      <c r="E37" s="157" t="s">
        <v>524</v>
      </c>
      <c r="F37" s="186" t="s">
        <v>735</v>
      </c>
      <c r="H37" s="162"/>
      <c r="I37" s="170"/>
      <c r="J37" s="170"/>
      <c r="K37" s="170"/>
      <c r="L37" s="170"/>
      <c r="M37" s="170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  <c r="DP37" s="135"/>
      <c r="DQ37" s="135"/>
      <c r="DR37" s="135"/>
      <c r="DS37" s="135"/>
      <c r="DT37" s="135"/>
      <c r="DU37" s="135"/>
      <c r="DV37" s="135"/>
      <c r="DW37" s="135"/>
      <c r="DX37" s="135"/>
      <c r="DY37" s="135"/>
      <c r="DZ37" s="135"/>
      <c r="EA37" s="135"/>
      <c r="EB37" s="135"/>
    </row>
    <row r="38" spans="1:132" s="190" customFormat="1" ht="15.75" x14ac:dyDescent="0.25">
      <c r="A38" s="171" t="s">
        <v>736</v>
      </c>
      <c r="B38" s="187" t="s">
        <v>737</v>
      </c>
      <c r="C38" s="188">
        <f>HCtot/Phppto</f>
        <v>0.53369078567409922</v>
      </c>
      <c r="D38" s="188">
        <f>HCtot/Phppto</f>
        <v>0.46619824656189013</v>
      </c>
      <c r="E38" s="187" t="s">
        <v>594</v>
      </c>
      <c r="F38" s="189" t="s">
        <v>738</v>
      </c>
      <c r="H38" s="133"/>
      <c r="I38" s="162"/>
      <c r="J38" s="162"/>
      <c r="K38" s="162"/>
      <c r="L38" s="162"/>
      <c r="M38" s="162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  <c r="BN38" s="166"/>
      <c r="BO38" s="166"/>
      <c r="BP38" s="166"/>
      <c r="BQ38" s="166"/>
      <c r="BR38" s="166"/>
      <c r="BS38" s="166"/>
      <c r="BT38" s="166"/>
      <c r="BU38" s="166"/>
      <c r="BV38" s="166"/>
      <c r="BW38" s="166"/>
      <c r="BX38" s="166"/>
      <c r="BY38" s="166"/>
      <c r="BZ38" s="166"/>
      <c r="CA38" s="166"/>
      <c r="CB38" s="166"/>
      <c r="CC38" s="166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66"/>
      <c r="DH38" s="166"/>
      <c r="DI38" s="166"/>
      <c r="DJ38" s="166"/>
      <c r="DK38" s="166"/>
      <c r="DL38" s="166"/>
      <c r="DM38" s="166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90" customFormat="1" ht="32.25" thickBot="1" x14ac:dyDescent="0.3">
      <c r="A39" s="191" t="s">
        <v>739</v>
      </c>
      <c r="B39" s="192" t="s">
        <v>740</v>
      </c>
      <c r="C39" s="246">
        <f>HCnf/Phppto</f>
        <v>0.3409331242909231</v>
      </c>
      <c r="D39" s="193">
        <f>HCnf/Phppto</f>
        <v>0.27362210432765016</v>
      </c>
      <c r="E39" s="194" t="s">
        <v>594</v>
      </c>
      <c r="F39" s="195" t="s">
        <v>741</v>
      </c>
      <c r="H39" s="133"/>
      <c r="I39" s="162"/>
      <c r="J39" s="162"/>
      <c r="K39" s="162"/>
      <c r="L39" s="166"/>
      <c r="M39" s="162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x14ac:dyDescent="0.2">
      <c r="A40" s="196"/>
      <c r="B40" s="161"/>
      <c r="C40" s="197"/>
      <c r="D40" s="197"/>
      <c r="E40" s="198"/>
      <c r="F40" s="199"/>
      <c r="H40" s="133"/>
      <c r="I40" s="162"/>
      <c r="J40" s="162"/>
      <c r="K40" s="162"/>
      <c r="L40" s="162"/>
      <c r="M40" s="162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ht="15.75" x14ac:dyDescent="0.25">
      <c r="B41" s="155" t="s">
        <v>742</v>
      </c>
      <c r="C41" s="133" t="s">
        <v>654</v>
      </c>
      <c r="D41" s="109" t="s">
        <v>655</v>
      </c>
      <c r="E41" s="133" t="s">
        <v>654</v>
      </c>
      <c r="F41" s="109" t="s">
        <v>655</v>
      </c>
      <c r="G41" s="133" t="s">
        <v>654</v>
      </c>
      <c r="H41" s="109" t="s">
        <v>655</v>
      </c>
      <c r="I41" s="162"/>
      <c r="J41" s="162"/>
      <c r="K41" s="162"/>
      <c r="L41" s="162"/>
      <c r="M41" s="162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133"/>
      <c r="BU41" s="133"/>
      <c r="BV41" s="133"/>
      <c r="BW41" s="133"/>
      <c r="BX41" s="133"/>
      <c r="BY41" s="133"/>
      <c r="BZ41" s="133"/>
      <c r="CA41" s="133"/>
      <c r="CB41" s="133"/>
      <c r="CC41" s="133"/>
      <c r="CD41" s="133"/>
      <c r="CE41" s="133"/>
      <c r="CF41" s="133"/>
      <c r="CG41" s="133"/>
      <c r="CH41" s="133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133"/>
      <c r="DE41" s="133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3"/>
      <c r="DU41" s="133"/>
      <c r="DV41" s="133"/>
      <c r="DW41" s="133"/>
      <c r="DX41" s="133"/>
      <c r="DY41" s="133"/>
      <c r="DZ41" s="133"/>
      <c r="EA41" s="133"/>
      <c r="EB41" s="133"/>
    </row>
    <row r="42" spans="1:132" x14ac:dyDescent="0.2">
      <c r="B42" s="115" t="s">
        <v>636</v>
      </c>
      <c r="C42" s="115" t="s">
        <v>637</v>
      </c>
      <c r="D42" s="115" t="s">
        <v>637</v>
      </c>
      <c r="E42" s="115" t="s">
        <v>638</v>
      </c>
      <c r="F42" s="115" t="s">
        <v>638</v>
      </c>
      <c r="G42" s="115" t="s">
        <v>639</v>
      </c>
      <c r="H42" s="115" t="s">
        <v>639</v>
      </c>
      <c r="I42" s="133"/>
      <c r="J42" s="133"/>
      <c r="K42" s="133"/>
      <c r="L42" s="133"/>
      <c r="M42" s="133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</row>
    <row r="43" spans="1:132" x14ac:dyDescent="0.2">
      <c r="B43" s="115"/>
      <c r="C43" s="115"/>
      <c r="D43" s="115"/>
      <c r="E43" s="115" t="s">
        <v>640</v>
      </c>
      <c r="F43" s="115" t="s">
        <v>640</v>
      </c>
      <c r="G43" s="115" t="s">
        <v>743</v>
      </c>
      <c r="H43" s="115" t="s">
        <v>743</v>
      </c>
      <c r="I43" s="133"/>
      <c r="J43" s="133"/>
      <c r="K43" s="133"/>
      <c r="L43" s="133"/>
      <c r="M43" s="133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</row>
    <row r="44" spans="1:132" x14ac:dyDescent="0.2">
      <c r="B44" s="133">
        <v>1</v>
      </c>
      <c r="C44" s="170">
        <f t="shared" ref="C44:D63" si="0">IF(C$5&gt;$B44, IF(C$3&lt;74.57,0.007,0.003)*C$17*($B44*C$6/1000)^2,0)</f>
        <v>118.38118500000002</v>
      </c>
      <c r="D44" s="170">
        <f t="shared" si="0"/>
        <v>219.43008</v>
      </c>
      <c r="E44" s="170">
        <f>C44</f>
        <v>118.38118500000002</v>
      </c>
      <c r="F44" s="170">
        <f>D44</f>
        <v>219.43008</v>
      </c>
      <c r="G44" s="170">
        <f t="shared" ref="G44:H63" si="1">E44/(1+C$7)^$B44</f>
        <v>112.74398571428573</v>
      </c>
      <c r="H44" s="170">
        <f t="shared" si="1"/>
        <v>208.98102857142857</v>
      </c>
      <c r="I44" s="133"/>
      <c r="J44" s="133"/>
      <c r="K44" s="133"/>
      <c r="L44" s="133"/>
      <c r="M44" s="133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</row>
    <row r="45" spans="1:132" ht="15.75" x14ac:dyDescent="0.25">
      <c r="B45" s="133">
        <v>2</v>
      </c>
      <c r="C45" s="170">
        <f t="shared" si="0"/>
        <v>473.52474000000007</v>
      </c>
      <c r="D45" s="170">
        <f t="shared" si="0"/>
        <v>877.72032000000002</v>
      </c>
      <c r="E45" s="170">
        <f t="shared" ref="E45:F63" si="2">IF(C45&gt;0,C45-C44,0)</f>
        <v>355.14355500000005</v>
      </c>
      <c r="F45" s="170">
        <f t="shared" si="2"/>
        <v>658.29024000000004</v>
      </c>
      <c r="G45" s="170">
        <f t="shared" si="1"/>
        <v>322.12567346938778</v>
      </c>
      <c r="H45" s="170">
        <f t="shared" si="1"/>
        <v>597.08865306122448</v>
      </c>
      <c r="I45" s="155"/>
      <c r="J45" s="133"/>
      <c r="K45" s="133"/>
      <c r="L45" s="133"/>
      <c r="M45" s="133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</row>
    <row r="46" spans="1:132" x14ac:dyDescent="0.2">
      <c r="B46" s="133">
        <v>3</v>
      </c>
      <c r="C46" s="170">
        <f t="shared" si="0"/>
        <v>1065.4306650000001</v>
      </c>
      <c r="D46" s="170">
        <f t="shared" si="0"/>
        <v>1974.8707200000001</v>
      </c>
      <c r="E46" s="170">
        <f t="shared" si="2"/>
        <v>591.90592500000002</v>
      </c>
      <c r="F46" s="170">
        <f t="shared" si="2"/>
        <v>1097.1504</v>
      </c>
      <c r="G46" s="170">
        <f t="shared" si="1"/>
        <v>511.31059280855197</v>
      </c>
      <c r="H46" s="170">
        <f t="shared" si="1"/>
        <v>947.75976676384823</v>
      </c>
      <c r="I46" s="135"/>
      <c r="J46" s="135"/>
      <c r="K46" s="135"/>
      <c r="L46" s="135"/>
      <c r="M46" s="135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</row>
    <row r="47" spans="1:132" x14ac:dyDescent="0.2">
      <c r="B47" s="133">
        <v>4</v>
      </c>
      <c r="C47" s="170">
        <f t="shared" si="0"/>
        <v>1894.0989600000003</v>
      </c>
      <c r="D47" s="170">
        <f t="shared" si="0"/>
        <v>3510.8812800000001</v>
      </c>
      <c r="E47" s="170">
        <f t="shared" si="2"/>
        <v>828.66829500000017</v>
      </c>
      <c r="F47" s="170">
        <f t="shared" si="2"/>
        <v>1536.0105599999999</v>
      </c>
      <c r="G47" s="170">
        <f t="shared" si="1"/>
        <v>681.74745707806949</v>
      </c>
      <c r="H47" s="170">
        <f t="shared" si="1"/>
        <v>1263.6796890184644</v>
      </c>
      <c r="I47" s="162"/>
      <c r="J47" s="162"/>
      <c r="K47" s="162"/>
      <c r="L47" s="162"/>
      <c r="M47" s="162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</row>
    <row r="48" spans="1:132" ht="15.75" x14ac:dyDescent="0.25">
      <c r="B48" s="133">
        <v>5</v>
      </c>
      <c r="C48" s="170">
        <f t="shared" si="0"/>
        <v>2959.5296250000006</v>
      </c>
      <c r="D48" s="170">
        <f t="shared" si="0"/>
        <v>5485.7520000000004</v>
      </c>
      <c r="E48" s="170">
        <f t="shared" si="2"/>
        <v>1065.4306650000003</v>
      </c>
      <c r="F48" s="170">
        <f t="shared" si="2"/>
        <v>1974.8707200000003</v>
      </c>
      <c r="G48" s="170">
        <f t="shared" si="1"/>
        <v>834.7928045853912</v>
      </c>
      <c r="H48" s="170">
        <f t="shared" si="1"/>
        <v>1547.3628845124056</v>
      </c>
      <c r="I48" s="162"/>
      <c r="J48" s="162"/>
      <c r="K48" s="162"/>
      <c r="L48" s="166"/>
      <c r="M48" s="162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</row>
    <row r="49" spans="2:132" x14ac:dyDescent="0.2">
      <c r="B49" s="133">
        <v>6</v>
      </c>
      <c r="C49" s="170">
        <f t="shared" si="0"/>
        <v>0</v>
      </c>
      <c r="D49" s="170">
        <f t="shared" si="0"/>
        <v>0</v>
      </c>
      <c r="E49" s="170">
        <f t="shared" si="2"/>
        <v>0</v>
      </c>
      <c r="F49" s="170">
        <f t="shared" si="2"/>
        <v>0</v>
      </c>
      <c r="G49" s="170">
        <f t="shared" si="1"/>
        <v>0</v>
      </c>
      <c r="H49" s="170">
        <f t="shared" si="1"/>
        <v>0</v>
      </c>
      <c r="I49" s="162"/>
      <c r="J49" s="162"/>
      <c r="K49" s="162"/>
      <c r="L49" s="162"/>
      <c r="M49" s="162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</row>
    <row r="50" spans="2:132" x14ac:dyDescent="0.2">
      <c r="B50" s="133">
        <v>7</v>
      </c>
      <c r="C50" s="170">
        <f t="shared" si="0"/>
        <v>0</v>
      </c>
      <c r="D50" s="170">
        <f t="shared" si="0"/>
        <v>0</v>
      </c>
      <c r="E50" s="170">
        <f t="shared" si="2"/>
        <v>0</v>
      </c>
      <c r="F50" s="170">
        <f t="shared" si="2"/>
        <v>0</v>
      </c>
      <c r="G50" s="170">
        <f t="shared" si="1"/>
        <v>0</v>
      </c>
      <c r="H50" s="170">
        <f t="shared" si="1"/>
        <v>0</v>
      </c>
      <c r="I50" s="162"/>
      <c r="J50" s="162"/>
      <c r="K50" s="162"/>
      <c r="L50" s="162"/>
      <c r="M50" s="162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</row>
    <row r="51" spans="2:132" x14ac:dyDescent="0.2">
      <c r="B51" s="133">
        <v>8</v>
      </c>
      <c r="C51" s="170">
        <f t="shared" si="0"/>
        <v>0</v>
      </c>
      <c r="D51" s="170">
        <f t="shared" si="0"/>
        <v>0</v>
      </c>
      <c r="E51" s="170">
        <f t="shared" si="2"/>
        <v>0</v>
      </c>
      <c r="F51" s="170">
        <f t="shared" si="2"/>
        <v>0</v>
      </c>
      <c r="G51" s="170">
        <f t="shared" si="1"/>
        <v>0</v>
      </c>
      <c r="H51" s="170">
        <f t="shared" si="1"/>
        <v>0</v>
      </c>
      <c r="I51" s="162"/>
      <c r="J51" s="162"/>
      <c r="K51" s="162"/>
      <c r="L51" s="162"/>
      <c r="M51" s="162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</row>
    <row r="52" spans="2:132" x14ac:dyDescent="0.2">
      <c r="B52" s="133">
        <v>9</v>
      </c>
      <c r="C52" s="170">
        <f t="shared" si="0"/>
        <v>0</v>
      </c>
      <c r="D52" s="170">
        <f t="shared" si="0"/>
        <v>0</v>
      </c>
      <c r="E52" s="170">
        <f t="shared" si="2"/>
        <v>0</v>
      </c>
      <c r="F52" s="170">
        <f t="shared" si="2"/>
        <v>0</v>
      </c>
      <c r="G52" s="170">
        <f t="shared" si="1"/>
        <v>0</v>
      </c>
      <c r="H52" s="170">
        <f t="shared" si="1"/>
        <v>0</v>
      </c>
      <c r="I52" s="162"/>
      <c r="J52" s="162"/>
      <c r="K52" s="162"/>
      <c r="L52" s="162"/>
      <c r="M52" s="162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</row>
    <row r="53" spans="2:132" x14ac:dyDescent="0.2">
      <c r="B53" s="133">
        <v>10</v>
      </c>
      <c r="C53" s="170">
        <f t="shared" si="0"/>
        <v>0</v>
      </c>
      <c r="D53" s="170">
        <f t="shared" si="0"/>
        <v>0</v>
      </c>
      <c r="E53" s="170">
        <f t="shared" si="2"/>
        <v>0</v>
      </c>
      <c r="F53" s="170">
        <f t="shared" si="2"/>
        <v>0</v>
      </c>
      <c r="G53" s="170">
        <f t="shared" si="1"/>
        <v>0</v>
      </c>
      <c r="H53" s="170">
        <f t="shared" si="1"/>
        <v>0</v>
      </c>
      <c r="I53" s="133"/>
      <c r="J53" s="133"/>
      <c r="K53" s="133"/>
      <c r="L53" s="133"/>
      <c r="M53" s="133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</row>
    <row r="54" spans="2:132" x14ac:dyDescent="0.2">
      <c r="B54" s="133">
        <v>11</v>
      </c>
      <c r="C54" s="170">
        <f t="shared" si="0"/>
        <v>0</v>
      </c>
      <c r="D54" s="170">
        <f t="shared" si="0"/>
        <v>0</v>
      </c>
      <c r="E54" s="170">
        <f t="shared" si="2"/>
        <v>0</v>
      </c>
      <c r="F54" s="170">
        <f t="shared" si="2"/>
        <v>0</v>
      </c>
      <c r="G54" s="170">
        <f t="shared" si="1"/>
        <v>0</v>
      </c>
      <c r="H54" s="170">
        <f t="shared" si="1"/>
        <v>0</v>
      </c>
      <c r="I54" s="133"/>
      <c r="J54" s="133"/>
      <c r="K54" s="133"/>
      <c r="L54" s="133"/>
      <c r="M54" s="133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</row>
    <row r="55" spans="2:132" x14ac:dyDescent="0.2">
      <c r="B55" s="133">
        <v>12</v>
      </c>
      <c r="C55" s="170">
        <f t="shared" si="0"/>
        <v>0</v>
      </c>
      <c r="D55" s="170">
        <f t="shared" si="0"/>
        <v>0</v>
      </c>
      <c r="E55" s="170">
        <f t="shared" si="2"/>
        <v>0</v>
      </c>
      <c r="F55" s="170">
        <f t="shared" si="2"/>
        <v>0</v>
      </c>
      <c r="G55" s="170">
        <f t="shared" si="1"/>
        <v>0</v>
      </c>
      <c r="H55" s="170">
        <f t="shared" si="1"/>
        <v>0</v>
      </c>
      <c r="I55" s="133"/>
      <c r="J55" s="133"/>
      <c r="K55" s="133"/>
      <c r="L55" s="133"/>
      <c r="M55" s="133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</row>
    <row r="56" spans="2:132" ht="15.75" x14ac:dyDescent="0.25">
      <c r="B56" s="133">
        <v>13</v>
      </c>
      <c r="C56" s="170">
        <f t="shared" si="0"/>
        <v>0</v>
      </c>
      <c r="D56" s="170">
        <f t="shared" si="0"/>
        <v>0</v>
      </c>
      <c r="E56" s="170">
        <f t="shared" si="2"/>
        <v>0</v>
      </c>
      <c r="F56" s="170">
        <f t="shared" si="2"/>
        <v>0</v>
      </c>
      <c r="G56" s="170">
        <f t="shared" si="1"/>
        <v>0</v>
      </c>
      <c r="H56" s="170">
        <f t="shared" si="1"/>
        <v>0</v>
      </c>
      <c r="I56" s="155"/>
      <c r="J56" s="133"/>
      <c r="K56" s="133"/>
      <c r="L56" s="133"/>
      <c r="M56" s="133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</row>
    <row r="57" spans="2:132" x14ac:dyDescent="0.2">
      <c r="B57" s="133">
        <v>14</v>
      </c>
      <c r="C57" s="170">
        <f t="shared" si="0"/>
        <v>0</v>
      </c>
      <c r="D57" s="170">
        <f t="shared" si="0"/>
        <v>0</v>
      </c>
      <c r="E57" s="170">
        <f t="shared" si="2"/>
        <v>0</v>
      </c>
      <c r="F57" s="170">
        <f t="shared" si="2"/>
        <v>0</v>
      </c>
      <c r="G57" s="170">
        <f t="shared" si="1"/>
        <v>0</v>
      </c>
      <c r="H57" s="170">
        <f t="shared" si="1"/>
        <v>0</v>
      </c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</row>
    <row r="58" spans="2:132" x14ac:dyDescent="0.2">
      <c r="B58" s="133">
        <v>15</v>
      </c>
      <c r="C58" s="170">
        <f t="shared" si="0"/>
        <v>0</v>
      </c>
      <c r="D58" s="170">
        <f t="shared" si="0"/>
        <v>0</v>
      </c>
      <c r="E58" s="170">
        <f t="shared" si="2"/>
        <v>0</v>
      </c>
      <c r="F58" s="170">
        <f t="shared" si="2"/>
        <v>0</v>
      </c>
      <c r="G58" s="170">
        <f t="shared" si="1"/>
        <v>0</v>
      </c>
      <c r="H58" s="170">
        <f t="shared" si="1"/>
        <v>0</v>
      </c>
      <c r="I58" s="162"/>
      <c r="J58" s="162"/>
      <c r="K58" s="162"/>
      <c r="L58" s="162"/>
      <c r="M58" s="162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2:132" x14ac:dyDescent="0.2">
      <c r="B59" s="133">
        <v>16</v>
      </c>
      <c r="C59" s="170">
        <f t="shared" si="0"/>
        <v>0</v>
      </c>
      <c r="D59" s="170">
        <f t="shared" si="0"/>
        <v>0</v>
      </c>
      <c r="E59" s="170">
        <f t="shared" si="2"/>
        <v>0</v>
      </c>
      <c r="F59" s="170">
        <f t="shared" si="2"/>
        <v>0</v>
      </c>
      <c r="G59" s="170">
        <f t="shared" si="1"/>
        <v>0</v>
      </c>
      <c r="H59" s="170">
        <f t="shared" si="1"/>
        <v>0</v>
      </c>
      <c r="I59" s="162"/>
      <c r="J59" s="162"/>
      <c r="K59" s="162"/>
      <c r="L59" s="162"/>
      <c r="M59" s="162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2:132" x14ac:dyDescent="0.2">
      <c r="B60" s="133">
        <v>17</v>
      </c>
      <c r="C60" s="170">
        <f t="shared" si="0"/>
        <v>0</v>
      </c>
      <c r="D60" s="170">
        <f t="shared" si="0"/>
        <v>0</v>
      </c>
      <c r="E60" s="170">
        <f t="shared" si="2"/>
        <v>0</v>
      </c>
      <c r="F60" s="170">
        <f t="shared" si="2"/>
        <v>0</v>
      </c>
      <c r="G60" s="170">
        <f t="shared" si="1"/>
        <v>0</v>
      </c>
      <c r="H60" s="170">
        <f t="shared" si="1"/>
        <v>0</v>
      </c>
      <c r="I60" s="162"/>
      <c r="J60" s="162"/>
      <c r="K60" s="162"/>
      <c r="L60" s="162"/>
      <c r="M60" s="162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</row>
    <row r="61" spans="2:132" ht="15.75" x14ac:dyDescent="0.25">
      <c r="B61" s="133">
        <v>18</v>
      </c>
      <c r="C61" s="170">
        <f t="shared" si="0"/>
        <v>0</v>
      </c>
      <c r="D61" s="170">
        <f t="shared" si="0"/>
        <v>0</v>
      </c>
      <c r="E61" s="170">
        <f t="shared" si="2"/>
        <v>0</v>
      </c>
      <c r="F61" s="170">
        <f t="shared" si="2"/>
        <v>0</v>
      </c>
      <c r="G61" s="170">
        <f t="shared" si="1"/>
        <v>0</v>
      </c>
      <c r="H61" s="170">
        <f t="shared" si="1"/>
        <v>0</v>
      </c>
      <c r="I61" s="162"/>
      <c r="J61" s="162"/>
      <c r="K61" s="162"/>
      <c r="L61" s="166"/>
      <c r="M61" s="162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</row>
    <row r="62" spans="2:132" x14ac:dyDescent="0.2">
      <c r="B62" s="133">
        <v>19</v>
      </c>
      <c r="C62" s="170">
        <f t="shared" si="0"/>
        <v>0</v>
      </c>
      <c r="D62" s="170">
        <f t="shared" si="0"/>
        <v>0</v>
      </c>
      <c r="E62" s="170">
        <f t="shared" si="2"/>
        <v>0</v>
      </c>
      <c r="F62" s="170">
        <f t="shared" si="2"/>
        <v>0</v>
      </c>
      <c r="G62" s="170">
        <f t="shared" si="1"/>
        <v>0</v>
      </c>
      <c r="H62" s="170">
        <f t="shared" si="1"/>
        <v>0</v>
      </c>
      <c r="I62" s="162"/>
      <c r="J62" s="162"/>
      <c r="K62" s="162"/>
      <c r="L62" s="162"/>
      <c r="M62" s="162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</row>
    <row r="63" spans="2:132" x14ac:dyDescent="0.2">
      <c r="B63" s="133">
        <v>20</v>
      </c>
      <c r="C63" s="170">
        <f t="shared" si="0"/>
        <v>0</v>
      </c>
      <c r="D63" s="170">
        <f t="shared" si="0"/>
        <v>0</v>
      </c>
      <c r="E63" s="170">
        <f t="shared" si="2"/>
        <v>0</v>
      </c>
      <c r="F63" s="170">
        <f t="shared" si="2"/>
        <v>0</v>
      </c>
      <c r="G63" s="170">
        <f t="shared" si="1"/>
        <v>0</v>
      </c>
      <c r="H63" s="170">
        <f t="shared" si="1"/>
        <v>0</v>
      </c>
      <c r="I63" s="162"/>
      <c r="J63" s="162"/>
      <c r="K63" s="162"/>
      <c r="L63" s="162"/>
      <c r="M63" s="162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</row>
    <row r="64" spans="2:132" x14ac:dyDescent="0.2">
      <c r="B64" s="133"/>
      <c r="C64" s="133"/>
      <c r="D64" s="133"/>
      <c r="E64" s="133"/>
      <c r="F64" s="140" t="s">
        <v>642</v>
      </c>
      <c r="G64" s="170">
        <f>SUM(G44:G63)</f>
        <v>2462.7205136556859</v>
      </c>
      <c r="H64" s="170">
        <f>SUM(H44:H63)</f>
        <v>4564.8720219273719</v>
      </c>
      <c r="I64" s="162"/>
      <c r="J64" s="162"/>
      <c r="K64" s="162"/>
      <c r="L64" s="162"/>
      <c r="M64" s="162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33"/>
      <c r="BH64" s="133"/>
      <c r="BI64" s="133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133"/>
      <c r="BU64" s="133"/>
      <c r="BV64" s="133"/>
      <c r="BW64" s="133"/>
      <c r="BX64" s="133"/>
      <c r="BY64" s="133"/>
      <c r="BZ64" s="133"/>
      <c r="CA64" s="133"/>
      <c r="CB64" s="133"/>
      <c r="CC64" s="133"/>
      <c r="CD64" s="133"/>
      <c r="CE64" s="133"/>
      <c r="CF64" s="133"/>
      <c r="CG64" s="133"/>
      <c r="CH64" s="133"/>
      <c r="CI64" s="133"/>
      <c r="CJ64" s="133"/>
      <c r="CK64" s="133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133"/>
      <c r="DE64" s="133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3"/>
      <c r="DU64" s="133"/>
      <c r="DV64" s="133"/>
      <c r="DW64" s="133"/>
      <c r="DX64" s="133"/>
      <c r="DY64" s="133"/>
      <c r="DZ64" s="133"/>
      <c r="EA64" s="133"/>
      <c r="EB64" s="133"/>
    </row>
    <row r="65" spans="1:132" x14ac:dyDescent="0.2">
      <c r="A65" s="109" t="s">
        <v>744</v>
      </c>
      <c r="B65" s="115"/>
      <c r="E65" s="133"/>
      <c r="I65" s="162"/>
      <c r="J65" s="162"/>
      <c r="K65" s="162"/>
      <c r="L65" s="162"/>
      <c r="M65" s="162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</row>
    <row r="66" spans="1:132" x14ac:dyDescent="0.2">
      <c r="A66" s="109" t="s">
        <v>745</v>
      </c>
      <c r="B66" s="115"/>
      <c r="E66" s="133"/>
      <c r="I66" s="162"/>
      <c r="J66" s="162"/>
      <c r="K66" s="162"/>
      <c r="L66" s="162"/>
      <c r="M66" s="162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15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</row>
    <row r="67" spans="1:132" x14ac:dyDescent="0.2">
      <c r="A67" s="109" t="s">
        <v>746</v>
      </c>
      <c r="B67" s="133"/>
      <c r="E67" s="133"/>
      <c r="H67" s="133"/>
      <c r="I67" s="162"/>
      <c r="J67" s="162"/>
      <c r="K67" s="162"/>
      <c r="L67" s="162"/>
      <c r="M67" s="162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</row>
    <row r="68" spans="1:132" x14ac:dyDescent="0.2">
      <c r="B68" s="133"/>
      <c r="E68" s="133"/>
      <c r="H68" s="133"/>
      <c r="I68" s="133"/>
      <c r="J68" s="133"/>
      <c r="K68" s="133"/>
      <c r="L68" s="133"/>
      <c r="M68" s="133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</row>
    <row r="69" spans="1:132" x14ac:dyDescent="0.2">
      <c r="B69" s="133"/>
      <c r="E69" s="133"/>
      <c r="H69" s="133"/>
      <c r="I69" s="133"/>
      <c r="J69" s="133"/>
      <c r="K69" s="133"/>
      <c r="L69" s="133"/>
      <c r="M69" s="133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</row>
    <row r="70" spans="1:132" x14ac:dyDescent="0.2">
      <c r="B70" s="133"/>
      <c r="E70" s="133"/>
      <c r="H70" s="133"/>
      <c r="I70" s="133"/>
      <c r="J70" s="133"/>
      <c r="K70" s="133"/>
      <c r="L70" s="133"/>
      <c r="M70" s="133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">
      <c r="B71" s="133"/>
      <c r="E71" s="133"/>
      <c r="H71" s="133"/>
      <c r="I71" s="133"/>
      <c r="J71" s="133"/>
      <c r="K71" s="133"/>
      <c r="L71" s="133"/>
      <c r="M71" s="133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</row>
    <row r="72" spans="1:132" x14ac:dyDescent="0.2">
      <c r="B72" s="133"/>
      <c r="E72" s="133"/>
      <c r="H72" s="133"/>
      <c r="I72" s="133"/>
      <c r="J72" s="133"/>
      <c r="K72" s="133"/>
      <c r="L72" s="133"/>
      <c r="M72" s="133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</row>
    <row r="73" spans="1:132" x14ac:dyDescent="0.2">
      <c r="B73" s="133"/>
      <c r="E73" s="133"/>
      <c r="H73" s="133"/>
      <c r="I73" s="133"/>
      <c r="J73" s="133"/>
      <c r="K73" s="133"/>
      <c r="L73" s="133"/>
      <c r="M73" s="133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</row>
    <row r="74" spans="1:132" x14ac:dyDescent="0.2">
      <c r="B74" s="133"/>
      <c r="E74" s="133"/>
      <c r="H74" s="133"/>
      <c r="I74" s="133"/>
      <c r="J74" s="133"/>
      <c r="K74" s="133"/>
      <c r="L74" s="133"/>
      <c r="M74" s="133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</row>
    <row r="75" spans="1:132" x14ac:dyDescent="0.2">
      <c r="B75" s="133"/>
      <c r="E75" s="133"/>
      <c r="H75" s="133"/>
      <c r="I75" s="133"/>
      <c r="J75" s="133"/>
      <c r="K75" s="133"/>
      <c r="L75" s="133"/>
      <c r="M75" s="133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</row>
    <row r="76" spans="1:132" x14ac:dyDescent="0.2">
      <c r="B76" s="133"/>
      <c r="E76" s="133"/>
      <c r="H76" s="133"/>
      <c r="I76" s="133"/>
      <c r="J76" s="133"/>
      <c r="K76" s="133"/>
      <c r="L76" s="133"/>
      <c r="M76" s="133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</row>
    <row r="77" spans="1:132" x14ac:dyDescent="0.2">
      <c r="B77" s="133"/>
      <c r="E77" s="133"/>
      <c r="H77" s="133"/>
      <c r="I77" s="133"/>
      <c r="J77" s="133"/>
      <c r="K77" s="133"/>
      <c r="L77" s="133"/>
      <c r="M77" s="133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</row>
    <row r="78" spans="1:132" x14ac:dyDescent="0.2">
      <c r="B78" s="133"/>
      <c r="E78" s="133"/>
      <c r="H78" s="133"/>
      <c r="I78" s="133"/>
      <c r="J78" s="133"/>
      <c r="K78" s="133"/>
      <c r="L78" s="133"/>
      <c r="M78" s="133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</row>
    <row r="79" spans="1:132" x14ac:dyDescent="0.2">
      <c r="B79" s="133"/>
      <c r="E79" s="133"/>
      <c r="H79" s="133"/>
      <c r="I79" s="133"/>
      <c r="J79" s="133"/>
      <c r="K79" s="133"/>
      <c r="L79" s="133"/>
      <c r="M79" s="133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</row>
    <row r="80" spans="1:132" x14ac:dyDescent="0.2">
      <c r="B80" s="133"/>
      <c r="E80" s="133"/>
      <c r="H80" s="133"/>
      <c r="I80" s="133"/>
      <c r="J80" s="133"/>
      <c r="K80" s="133"/>
      <c r="L80" s="133"/>
      <c r="M80" s="133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</row>
    <row r="81" spans="2:132" x14ac:dyDescent="0.2">
      <c r="B81" s="133"/>
      <c r="E81" s="133"/>
      <c r="H81" s="133"/>
      <c r="I81" s="133"/>
      <c r="J81" s="133"/>
      <c r="K81" s="133"/>
      <c r="L81" s="133"/>
      <c r="M81" s="133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</row>
    <row r="82" spans="2:132" x14ac:dyDescent="0.2">
      <c r="B82" s="133"/>
      <c r="E82" s="133"/>
      <c r="H82" s="133"/>
      <c r="I82" s="133"/>
      <c r="J82" s="133"/>
      <c r="K82" s="133"/>
      <c r="L82" s="133"/>
      <c r="M82" s="133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</row>
    <row r="83" spans="2:132" x14ac:dyDescent="0.2">
      <c r="B83" s="133"/>
      <c r="E83" s="133"/>
      <c r="H83" s="133"/>
      <c r="I83" s="133"/>
      <c r="J83" s="133"/>
      <c r="K83" s="133"/>
      <c r="L83" s="133"/>
      <c r="M83" s="133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</row>
    <row r="84" spans="2:132" x14ac:dyDescent="0.2">
      <c r="B84" s="133"/>
      <c r="E84" s="133"/>
      <c r="H84" s="133"/>
      <c r="I84" s="133"/>
      <c r="J84" s="133"/>
      <c r="K84" s="133"/>
      <c r="L84" s="133"/>
      <c r="M84" s="133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</row>
    <row r="85" spans="2:132" x14ac:dyDescent="0.2">
      <c r="B85" s="133"/>
      <c r="E85" s="133"/>
      <c r="H85" s="133"/>
      <c r="I85" s="133"/>
      <c r="J85" s="133"/>
      <c r="K85" s="133"/>
      <c r="L85" s="133"/>
      <c r="M85" s="133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</row>
    <row r="86" spans="2:132" x14ac:dyDescent="0.2">
      <c r="B86" s="133"/>
      <c r="E86" s="133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</row>
    <row r="87" spans="2:132" x14ac:dyDescent="0.2">
      <c r="B87" s="133"/>
      <c r="C87" s="133"/>
      <c r="D87" s="133"/>
      <c r="E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33"/>
      <c r="BH87" s="133"/>
      <c r="BI87" s="133"/>
      <c r="BJ87" s="133"/>
      <c r="BK87" s="133"/>
      <c r="BL87" s="133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  <c r="BW87" s="133"/>
      <c r="BX87" s="133"/>
      <c r="BY87" s="133"/>
      <c r="BZ87" s="133"/>
      <c r="CA87" s="133"/>
      <c r="CB87" s="133"/>
      <c r="CC87" s="133"/>
      <c r="CD87" s="133"/>
      <c r="CE87" s="133"/>
      <c r="CF87" s="133"/>
      <c r="CG87" s="133"/>
      <c r="CH87" s="133"/>
      <c r="CI87" s="133"/>
      <c r="CJ87" s="133"/>
      <c r="CK87" s="133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133"/>
      <c r="DE87" s="133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3"/>
      <c r="DU87" s="133"/>
      <c r="DV87" s="133"/>
      <c r="DW87" s="133"/>
      <c r="DX87" s="133"/>
      <c r="DY87" s="133"/>
      <c r="DZ87" s="133"/>
      <c r="EA87" s="133"/>
      <c r="EB87" s="133"/>
    </row>
    <row r="88" spans="2:132" x14ac:dyDescent="0.2">
      <c r="B88" s="115"/>
      <c r="E88" s="133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/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/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15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</row>
    <row r="89" spans="2:132" x14ac:dyDescent="0.2">
      <c r="B89" s="115"/>
      <c r="E89" s="133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  <c r="CL89" s="115"/>
      <c r="CM89" s="115"/>
      <c r="CN89" s="115"/>
      <c r="CO89" s="115"/>
      <c r="CP89" s="115"/>
      <c r="CQ89" s="115"/>
      <c r="CR89" s="115"/>
      <c r="CS89" s="115"/>
      <c r="CT89" s="115"/>
      <c r="CU89" s="115"/>
      <c r="CV89" s="115"/>
      <c r="CW89" s="115"/>
      <c r="CX89" s="115"/>
      <c r="CY89" s="115"/>
      <c r="CZ89" s="115"/>
      <c r="DA89" s="115"/>
      <c r="DB89" s="115"/>
      <c r="DC89" s="115"/>
      <c r="DD89" s="115"/>
      <c r="DE89" s="115"/>
      <c r="DF89" s="115"/>
      <c r="DG89" s="115"/>
      <c r="DH89" s="115"/>
      <c r="DI89" s="115"/>
      <c r="DJ89" s="115"/>
      <c r="DK89" s="115"/>
      <c r="DL89" s="115"/>
      <c r="DM89" s="115"/>
      <c r="DN89" s="115"/>
      <c r="DO89" s="115"/>
      <c r="DP89" s="115"/>
      <c r="DQ89" s="115"/>
      <c r="DR89" s="115"/>
      <c r="DS89" s="115"/>
      <c r="DT89" s="115"/>
      <c r="DU89" s="115"/>
      <c r="DV89" s="115"/>
      <c r="DW89" s="115"/>
      <c r="DX89" s="115"/>
      <c r="DY89" s="115"/>
      <c r="DZ89" s="115"/>
      <c r="EA89" s="115"/>
      <c r="EB89" s="115"/>
    </row>
    <row r="90" spans="2:132" x14ac:dyDescent="0.2">
      <c r="B90" s="133"/>
      <c r="E90" s="133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  <c r="DZ90" s="170"/>
      <c r="EA90" s="170"/>
      <c r="EB90" s="170"/>
    </row>
    <row r="91" spans="2:132" x14ac:dyDescent="0.2">
      <c r="B91" s="133"/>
      <c r="E91" s="133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  <c r="DZ91" s="170"/>
      <c r="EA91" s="170"/>
      <c r="EB91" s="170"/>
    </row>
    <row r="92" spans="2:132" x14ac:dyDescent="0.2">
      <c r="B92" s="133"/>
      <c r="E92" s="133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  <c r="DZ92" s="170"/>
      <c r="EA92" s="170"/>
      <c r="EB92" s="170"/>
    </row>
    <row r="93" spans="2:132" x14ac:dyDescent="0.2">
      <c r="B93" s="133"/>
      <c r="E93" s="133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  <c r="DZ93" s="170"/>
      <c r="EA93" s="170"/>
      <c r="EB93" s="170"/>
    </row>
    <row r="94" spans="2:132" x14ac:dyDescent="0.2">
      <c r="B94" s="133"/>
      <c r="E94" s="133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  <c r="DZ94" s="170"/>
      <c r="EA94" s="170"/>
      <c r="EB94" s="170"/>
    </row>
    <row r="95" spans="2:132" x14ac:dyDescent="0.2">
      <c r="B95" s="133"/>
      <c r="E95" s="133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  <c r="DZ95" s="170"/>
      <c r="EA95" s="170"/>
      <c r="EB95" s="170"/>
    </row>
    <row r="96" spans="2:132" x14ac:dyDescent="0.2">
      <c r="B96" s="133"/>
      <c r="E96" s="133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  <c r="DZ96" s="170"/>
      <c r="EA96" s="170"/>
      <c r="EB96" s="170"/>
    </row>
    <row r="97" spans="1:132" x14ac:dyDescent="0.2">
      <c r="B97" s="133"/>
      <c r="E97" s="133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  <c r="DZ97" s="170"/>
      <c r="EA97" s="170"/>
      <c r="EB97" s="170"/>
    </row>
    <row r="98" spans="1:132" x14ac:dyDescent="0.2">
      <c r="B98" s="133"/>
      <c r="E98" s="133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  <c r="DZ98" s="170"/>
      <c r="EA98" s="170"/>
      <c r="EB98" s="170"/>
    </row>
    <row r="99" spans="1:132" x14ac:dyDescent="0.2">
      <c r="B99" s="133"/>
      <c r="E99" s="133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  <c r="DZ99" s="170"/>
      <c r="EA99" s="170"/>
      <c r="EB99" s="170"/>
    </row>
    <row r="100" spans="1:132" x14ac:dyDescent="0.2">
      <c r="B100" s="133"/>
      <c r="E100" s="133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  <c r="DZ100" s="170"/>
      <c r="EA100" s="170"/>
      <c r="EB100" s="170"/>
    </row>
    <row r="101" spans="1:132" x14ac:dyDescent="0.2">
      <c r="B101" s="133"/>
      <c r="E101" s="133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  <c r="DZ101" s="170"/>
      <c r="EA101" s="170"/>
      <c r="EB101" s="170"/>
    </row>
    <row r="102" spans="1:132" x14ac:dyDescent="0.2">
      <c r="B102" s="133"/>
      <c r="E102" s="133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  <c r="DZ102" s="170"/>
      <c r="EA102" s="170"/>
      <c r="EB102" s="170"/>
    </row>
    <row r="103" spans="1:132" x14ac:dyDescent="0.2">
      <c r="B103" s="133"/>
      <c r="E103" s="133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">
      <c r="B104" s="133"/>
      <c r="E104" s="133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">
      <c r="B105" s="133"/>
      <c r="E105" s="133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">
      <c r="B106" s="133"/>
      <c r="E106" s="133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  <c r="DZ106" s="170"/>
      <c r="EA106" s="170"/>
      <c r="EB106" s="170"/>
    </row>
    <row r="107" spans="1:132" x14ac:dyDescent="0.2">
      <c r="B107" s="133"/>
      <c r="E107" s="133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  <c r="DZ107" s="170"/>
      <c r="EA107" s="170"/>
      <c r="EB107" s="170"/>
    </row>
    <row r="108" spans="1:132" x14ac:dyDescent="0.2">
      <c r="B108" s="133"/>
      <c r="E108" s="133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  <c r="DZ108" s="170"/>
      <c r="EA108" s="170"/>
      <c r="EB108" s="170"/>
    </row>
    <row r="109" spans="1:132" x14ac:dyDescent="0.2">
      <c r="B109" s="133"/>
      <c r="E109" s="133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  <c r="DZ109" s="170"/>
      <c r="EA109" s="170"/>
      <c r="EB109" s="170"/>
    </row>
    <row r="110" spans="1:132" x14ac:dyDescent="0.2">
      <c r="B110" s="200"/>
      <c r="E110" s="133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  <c r="DZ110" s="170"/>
      <c r="EA110" s="170"/>
      <c r="EB110" s="170"/>
    </row>
    <row r="111" spans="1:132" x14ac:dyDescent="0.2">
      <c r="A111" s="133"/>
      <c r="B111" s="133"/>
      <c r="C111" s="133"/>
      <c r="D111" s="133"/>
      <c r="E111" s="133"/>
    </row>
    <row r="112" spans="1:132" x14ac:dyDescent="0.2">
      <c r="D112" s="133"/>
      <c r="E112" s="133"/>
    </row>
    <row r="113" spans="2:5" x14ac:dyDescent="0.2">
      <c r="B113" s="137"/>
      <c r="C113" s="137"/>
      <c r="D113" s="133"/>
      <c r="E113" s="133"/>
    </row>
    <row r="114" spans="2:5" x14ac:dyDescent="0.2">
      <c r="B114" s="201"/>
      <c r="C114" s="201"/>
      <c r="D114" s="133"/>
      <c r="E114" s="133"/>
    </row>
    <row r="115" spans="2:5" x14ac:dyDescent="0.2">
      <c r="B115" s="136"/>
      <c r="C115" s="136"/>
      <c r="D115" s="133"/>
      <c r="E115" s="133"/>
    </row>
    <row r="116" spans="2:5" x14ac:dyDescent="0.2">
      <c r="B116" s="136"/>
      <c r="C116" s="136"/>
    </row>
    <row r="117" spans="2:5" x14ac:dyDescent="0.2">
      <c r="B117" s="136"/>
      <c r="C117" s="136"/>
    </row>
    <row r="118" spans="2:5" x14ac:dyDescent="0.2">
      <c r="B118" s="136"/>
      <c r="C118" s="136"/>
    </row>
    <row r="119" spans="2:5" x14ac:dyDescent="0.2">
      <c r="B119" s="202"/>
      <c r="C119" s="201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10248" r:id="rId4">
          <objectPr defaultSize="0" autoPict="0" r:id="rId5">
            <anchor moveWithCells="1">
              <from>
                <xdr:col>6</xdr:col>
                <xdr:colOff>142875</xdr:colOff>
                <xdr:row>0</xdr:row>
                <xdr:rowOff>95250</xdr:rowOff>
              </from>
              <to>
                <xdr:col>13</xdr:col>
                <xdr:colOff>400050</xdr:colOff>
                <xdr:row>25</xdr:row>
                <xdr:rowOff>142875</xdr:rowOff>
              </to>
            </anchor>
          </objectPr>
        </oleObject>
      </mc:Choice>
      <mc:Fallback>
        <oleObject progId="Acrobat Document" shapeId="10248" r:id="rId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6" name="Drop Down 1">
              <controlPr defaultSize="0" autoLine="0" autoPict="0">
                <anchor moveWithCells="1">
                  <from>
                    <xdr:col>2</xdr:col>
                    <xdr:colOff>0</xdr:colOff>
                    <xdr:row>3</xdr:row>
                    <xdr:rowOff>9525</xdr:rowOff>
                  </from>
                  <to>
                    <xdr:col>3</xdr:col>
                    <xdr:colOff>0</xdr:colOff>
                    <xdr:row>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7" name="Drop Down 2">
              <controlPr defaultSize="0" autoLine="0" autoPict="0">
                <anchor moveWithCells="1">
                  <from>
                    <xdr:col>3</xdr:col>
                    <xdr:colOff>0</xdr:colOff>
                    <xdr:row>3</xdr:row>
                    <xdr:rowOff>9525</xdr:rowOff>
                  </from>
                  <to>
                    <xdr:col>4</xdr:col>
                    <xdr:colOff>0</xdr:colOff>
                    <xdr:row>4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F9ACE-DFE0-4CB9-8B2F-2641FAEA2F29}">
  <dimension ref="A1:P61"/>
  <sheetViews>
    <sheetView workbookViewId="0">
      <selection activeCell="T14" sqref="T14"/>
    </sheetView>
  </sheetViews>
  <sheetFormatPr defaultRowHeight="12.75" x14ac:dyDescent="0.2"/>
  <cols>
    <col min="1" max="2" width="9.140625" style="109"/>
    <col min="3" max="3" width="11.140625" style="109" bestFit="1" customWidth="1"/>
    <col min="4" max="6" width="12.28515625" style="109" customWidth="1"/>
    <col min="7" max="8" width="9.140625" style="109"/>
    <col min="9" max="9" width="11.140625" style="109" bestFit="1" customWidth="1"/>
    <col min="10" max="16384" width="9.140625" style="109"/>
  </cols>
  <sheetData>
    <row r="1" spans="1:11" x14ac:dyDescent="0.2">
      <c r="A1" s="109" t="s">
        <v>647</v>
      </c>
      <c r="D1" s="109" t="s">
        <v>648</v>
      </c>
      <c r="G1" s="109" t="s">
        <v>647</v>
      </c>
      <c r="J1" s="109" t="s">
        <v>649</v>
      </c>
    </row>
    <row r="2" spans="1:11" x14ac:dyDescent="0.2">
      <c r="A2" s="109" t="s">
        <v>650</v>
      </c>
      <c r="B2" s="109" t="s">
        <v>651</v>
      </c>
      <c r="D2" s="109" t="s">
        <v>650</v>
      </c>
      <c r="E2" s="109" t="s">
        <v>651</v>
      </c>
      <c r="G2" s="109" t="s">
        <v>650</v>
      </c>
      <c r="H2" s="109" t="s">
        <v>651</v>
      </c>
      <c r="J2" s="109" t="s">
        <v>650</v>
      </c>
      <c r="K2" s="109" t="s">
        <v>651</v>
      </c>
    </row>
    <row r="3" spans="1:11" x14ac:dyDescent="0.2">
      <c r="A3" s="150">
        <v>43570</v>
      </c>
      <c r="B3" s="109">
        <v>1</v>
      </c>
      <c r="D3" s="150">
        <v>43557</v>
      </c>
      <c r="E3" s="109">
        <v>0.98</v>
      </c>
      <c r="G3" s="150">
        <v>43557</v>
      </c>
      <c r="H3" s="109">
        <v>0.98</v>
      </c>
      <c r="J3" s="150">
        <v>43565</v>
      </c>
      <c r="K3" s="109">
        <v>0.87</v>
      </c>
    </row>
    <row r="4" spans="1:11" x14ac:dyDescent="0.2">
      <c r="A4" s="150">
        <v>43586</v>
      </c>
      <c r="B4" s="109">
        <v>0.98</v>
      </c>
      <c r="D4" s="150">
        <v>43565</v>
      </c>
      <c r="E4" s="109">
        <v>1</v>
      </c>
      <c r="G4" s="150">
        <v>43597</v>
      </c>
      <c r="H4" s="109">
        <v>0.95</v>
      </c>
      <c r="J4" s="150">
        <v>43585</v>
      </c>
      <c r="K4" s="109">
        <v>1</v>
      </c>
    </row>
    <row r="5" spans="1:11" x14ac:dyDescent="0.2">
      <c r="A5" s="150">
        <v>43615</v>
      </c>
      <c r="B5" s="109">
        <v>0.84</v>
      </c>
      <c r="D5" s="150">
        <v>43565</v>
      </c>
      <c r="E5" s="109">
        <v>0.87</v>
      </c>
      <c r="G5" s="150">
        <v>43637</v>
      </c>
      <c r="H5" s="109">
        <v>0.35</v>
      </c>
      <c r="J5" s="150">
        <v>43625</v>
      </c>
      <c r="K5" s="109">
        <v>0.67</v>
      </c>
    </row>
    <row r="6" spans="1:11" x14ac:dyDescent="0.2">
      <c r="A6" s="150">
        <v>43630</v>
      </c>
      <c r="B6" s="109">
        <v>0.74</v>
      </c>
      <c r="D6" s="150">
        <v>43570</v>
      </c>
      <c r="E6" s="109">
        <v>1</v>
      </c>
    </row>
    <row r="7" spans="1:11" x14ac:dyDescent="0.2">
      <c r="D7" s="150">
        <v>43585</v>
      </c>
      <c r="E7" s="109">
        <v>1</v>
      </c>
    </row>
    <row r="8" spans="1:11" x14ac:dyDescent="0.2">
      <c r="D8" s="150">
        <v>43586</v>
      </c>
      <c r="E8" s="109">
        <v>0.98</v>
      </c>
    </row>
    <row r="9" spans="1:11" x14ac:dyDescent="0.2">
      <c r="D9" s="150">
        <v>43595</v>
      </c>
      <c r="E9" s="109">
        <v>0.99</v>
      </c>
    </row>
    <row r="10" spans="1:11" x14ac:dyDescent="0.2">
      <c r="D10" s="150">
        <v>43597</v>
      </c>
      <c r="E10" s="109">
        <v>0.95</v>
      </c>
    </row>
    <row r="11" spans="1:11" x14ac:dyDescent="0.2">
      <c r="D11" s="150">
        <v>43615</v>
      </c>
      <c r="E11" s="109">
        <v>0.89</v>
      </c>
    </row>
    <row r="12" spans="1:11" x14ac:dyDescent="0.2">
      <c r="D12" s="150">
        <v>43615</v>
      </c>
      <c r="E12" s="109">
        <v>0.84</v>
      </c>
    </row>
    <row r="13" spans="1:11" x14ac:dyDescent="0.2">
      <c r="D13" s="150">
        <v>43625</v>
      </c>
      <c r="E13" s="109">
        <v>0.67</v>
      </c>
    </row>
    <row r="14" spans="1:11" x14ac:dyDescent="0.2">
      <c r="D14" s="150">
        <v>43630</v>
      </c>
      <c r="E14" s="109">
        <v>0.74</v>
      </c>
    </row>
    <row r="15" spans="1:11" x14ac:dyDescent="0.2">
      <c r="D15" s="150">
        <v>43637</v>
      </c>
      <c r="E15" s="109">
        <v>0.35</v>
      </c>
    </row>
    <row r="17" spans="3:4" x14ac:dyDescent="0.2">
      <c r="D17" s="109" t="s">
        <v>892</v>
      </c>
    </row>
    <row r="18" spans="3:4" x14ac:dyDescent="0.2">
      <c r="C18" s="150">
        <v>43615</v>
      </c>
      <c r="D18" s="109">
        <v>0.89</v>
      </c>
    </row>
    <row r="19" spans="3:4" x14ac:dyDescent="0.2">
      <c r="C19" s="150">
        <v>43615</v>
      </c>
      <c r="D19" s="109">
        <v>0.84</v>
      </c>
    </row>
    <row r="20" spans="3:4" x14ac:dyDescent="0.2">
      <c r="C20" s="150">
        <v>43625</v>
      </c>
      <c r="D20" s="109">
        <v>0.67</v>
      </c>
    </row>
    <row r="21" spans="3:4" x14ac:dyDescent="0.2">
      <c r="C21" s="150">
        <v>43630</v>
      </c>
      <c r="D21" s="109">
        <v>0.74</v>
      </c>
    </row>
    <row r="22" spans="3:4" x14ac:dyDescent="0.2">
      <c r="C22" s="150">
        <v>43637</v>
      </c>
      <c r="D22" s="109">
        <v>0.35</v>
      </c>
    </row>
    <row r="37" spans="1:16" ht="15" x14ac:dyDescent="0.25">
      <c r="A37" s="251" t="s">
        <v>747</v>
      </c>
      <c r="B37" s="251"/>
      <c r="C37" s="251"/>
      <c r="D37" s="251"/>
      <c r="E37" s="251"/>
      <c r="F37" s="251"/>
      <c r="G37" s="251"/>
      <c r="H37" s="251"/>
      <c r="I37" s="251"/>
      <c r="J37" s="251"/>
      <c r="K37" s="251"/>
      <c r="L37" s="251"/>
      <c r="M37" s="251"/>
      <c r="N37" s="251"/>
      <c r="O37" s="251"/>
      <c r="P37" s="251"/>
    </row>
    <row r="38" spans="1:16" ht="15" x14ac:dyDescent="0.25">
      <c r="A38" s="203"/>
      <c r="B38" s="203"/>
      <c r="C38" s="204" t="s">
        <v>748</v>
      </c>
      <c r="D38" s="204" t="s">
        <v>749</v>
      </c>
      <c r="E38" s="205" t="s">
        <v>750</v>
      </c>
      <c r="F38" s="205" t="s">
        <v>751</v>
      </c>
      <c r="G38"/>
      <c r="H38"/>
      <c r="I38"/>
      <c r="J38"/>
      <c r="K38"/>
      <c r="L38"/>
      <c r="M38"/>
      <c r="N38"/>
      <c r="O38"/>
      <c r="P38"/>
    </row>
    <row r="39" spans="1:16" ht="15" x14ac:dyDescent="0.25">
      <c r="A39" s="206">
        <v>1705</v>
      </c>
      <c r="B39" s="206"/>
      <c r="C39" s="203"/>
      <c r="D39" s="203"/>
      <c r="E39" s="203"/>
      <c r="F39" s="203"/>
      <c r="G39"/>
      <c r="H39"/>
      <c r="I39"/>
      <c r="J39"/>
      <c r="K39"/>
      <c r="L39"/>
      <c r="M39"/>
      <c r="N39"/>
      <c r="O39"/>
      <c r="P39"/>
    </row>
    <row r="40" spans="1:16" ht="15" x14ac:dyDescent="0.25">
      <c r="A40" s="203" t="s">
        <v>752</v>
      </c>
      <c r="B40" s="203">
        <v>6</v>
      </c>
      <c r="C40" s="207"/>
      <c r="D40" s="207">
        <v>44806</v>
      </c>
      <c r="E40" s="207">
        <f>(D40/B40)</f>
        <v>7467.666666666667</v>
      </c>
      <c r="F40" s="207"/>
      <c r="G40"/>
      <c r="H40"/>
      <c r="I40"/>
      <c r="J40"/>
      <c r="K40"/>
      <c r="L40"/>
      <c r="M40"/>
      <c r="N40"/>
      <c r="O40"/>
      <c r="P40"/>
    </row>
    <row r="41" spans="1:16" ht="15" x14ac:dyDescent="0.25">
      <c r="A41" s="203" t="s">
        <v>753</v>
      </c>
      <c r="B41" s="203">
        <v>8</v>
      </c>
      <c r="C41" s="207"/>
      <c r="D41" s="207">
        <v>53197</v>
      </c>
      <c r="E41" s="207">
        <f>(D41/B41)</f>
        <v>6649.625</v>
      </c>
      <c r="F41" s="207"/>
      <c r="G41"/>
      <c r="H41"/>
      <c r="I41"/>
      <c r="J41"/>
      <c r="K41"/>
      <c r="L41"/>
      <c r="M41"/>
      <c r="N41"/>
      <c r="O41"/>
      <c r="P41"/>
    </row>
    <row r="42" spans="1:16" ht="15" x14ac:dyDescent="0.25">
      <c r="A42" s="203"/>
      <c r="B42" s="203"/>
      <c r="C42" s="207"/>
      <c r="D42" s="207"/>
      <c r="E42" s="207"/>
      <c r="F42" s="207"/>
      <c r="G42"/>
      <c r="H42"/>
      <c r="I42"/>
      <c r="J42"/>
      <c r="K42"/>
      <c r="L42"/>
      <c r="M42"/>
      <c r="N42"/>
      <c r="O42"/>
      <c r="P42"/>
    </row>
    <row r="43" spans="1:16" ht="15" x14ac:dyDescent="0.25">
      <c r="A43" s="208" t="s">
        <v>754</v>
      </c>
      <c r="B43" s="208"/>
      <c r="C43" s="207"/>
      <c r="D43" s="207"/>
      <c r="E43" s="207"/>
      <c r="F43" s="207"/>
      <c r="G43"/>
      <c r="H43" t="s">
        <v>888</v>
      </c>
      <c r="I43"/>
      <c r="J43"/>
      <c r="K43"/>
      <c r="L43"/>
      <c r="M43"/>
      <c r="N43"/>
      <c r="O43"/>
      <c r="P43"/>
    </row>
    <row r="44" spans="1:16" ht="15" x14ac:dyDescent="0.25">
      <c r="A44" s="203" t="s">
        <v>755</v>
      </c>
      <c r="B44" s="203">
        <v>12</v>
      </c>
      <c r="C44" s="207">
        <v>163900</v>
      </c>
      <c r="D44" s="207">
        <v>153212</v>
      </c>
      <c r="E44" s="207">
        <f>(D44/B44)</f>
        <v>12767.666666666666</v>
      </c>
      <c r="F44" s="207">
        <f>(C44/B44)</f>
        <v>13658.333333333334</v>
      </c>
      <c r="G44"/>
      <c r="H44" s="117">
        <f>C44/D44</f>
        <v>1.0697595488604026</v>
      </c>
      <c r="I44"/>
      <c r="J44"/>
      <c r="K44"/>
      <c r="L44"/>
      <c r="M44"/>
      <c r="N44"/>
      <c r="O44"/>
      <c r="P44"/>
    </row>
    <row r="45" spans="1:16" ht="15" x14ac:dyDescent="0.25">
      <c r="A45" s="203" t="s">
        <v>756</v>
      </c>
      <c r="B45" s="203">
        <v>16</v>
      </c>
      <c r="C45" s="207">
        <v>204442</v>
      </c>
      <c r="D45" s="207">
        <v>192173</v>
      </c>
      <c r="E45" s="207">
        <f t="shared" ref="E45:E46" si="0">(D45/B45)</f>
        <v>12010.8125</v>
      </c>
      <c r="F45" s="207">
        <f t="shared" ref="F45:F46" si="1">(C45/B45)</f>
        <v>12777.625</v>
      </c>
      <c r="G45"/>
      <c r="H45" s="117">
        <f>C45/D45</f>
        <v>1.0638435159986055</v>
      </c>
      <c r="I45"/>
      <c r="J45"/>
      <c r="K45"/>
      <c r="L45"/>
      <c r="M45"/>
      <c r="N45"/>
      <c r="O45"/>
      <c r="P45"/>
    </row>
    <row r="46" spans="1:16" ht="15" x14ac:dyDescent="0.25">
      <c r="A46" s="203" t="s">
        <v>757</v>
      </c>
      <c r="B46" s="203">
        <v>24</v>
      </c>
      <c r="C46" s="207">
        <v>339562</v>
      </c>
      <c r="D46" s="207">
        <v>283392</v>
      </c>
      <c r="E46" s="207">
        <f t="shared" si="0"/>
        <v>11808</v>
      </c>
      <c r="F46" s="207">
        <f t="shared" si="1"/>
        <v>14148.416666666666</v>
      </c>
      <c r="G46"/>
      <c r="H46" s="117">
        <f>C46/D46</f>
        <v>1.1982060185185186</v>
      </c>
      <c r="I46"/>
      <c r="J46"/>
      <c r="K46"/>
      <c r="L46"/>
      <c r="M46"/>
      <c r="N46"/>
      <c r="O46"/>
      <c r="P46"/>
    </row>
    <row r="47" spans="1:16" ht="15" x14ac:dyDescent="0.25">
      <c r="A47" s="203"/>
      <c r="B47" s="203"/>
      <c r="C47" s="207"/>
      <c r="D47" s="207"/>
      <c r="E47" s="207"/>
      <c r="F47" s="207"/>
      <c r="G47"/>
      <c r="H47"/>
      <c r="I47"/>
      <c r="J47"/>
      <c r="K47"/>
      <c r="L47"/>
      <c r="M47"/>
      <c r="N47"/>
      <c r="O47"/>
      <c r="P47"/>
    </row>
    <row r="48" spans="1:16" ht="15" x14ac:dyDescent="0.25">
      <c r="A48" s="208" t="s">
        <v>758</v>
      </c>
      <c r="B48" s="208"/>
      <c r="C48" s="207"/>
      <c r="D48" s="207"/>
      <c r="E48" s="207"/>
      <c r="F48" s="207"/>
      <c r="G48"/>
      <c r="H48"/>
      <c r="I48"/>
      <c r="J48"/>
      <c r="K48"/>
      <c r="L48"/>
      <c r="M48"/>
      <c r="N48"/>
      <c r="O48"/>
      <c r="P48"/>
    </row>
    <row r="49" spans="1:16" ht="15" x14ac:dyDescent="0.25">
      <c r="A49" s="203" t="s">
        <v>759</v>
      </c>
      <c r="B49" s="203">
        <v>36</v>
      </c>
      <c r="C49" s="207">
        <v>440696</v>
      </c>
      <c r="D49" s="207">
        <f>C49/(AVERAGE(H44:H46))</f>
        <v>396807.85030448716</v>
      </c>
      <c r="E49" s="207"/>
      <c r="F49" s="207">
        <f>(C49/B49)</f>
        <v>12241.555555555555</v>
      </c>
      <c r="G49"/>
      <c r="H49"/>
      <c r="I49"/>
      <c r="J49"/>
      <c r="K49"/>
      <c r="L49"/>
      <c r="M49"/>
      <c r="N49"/>
      <c r="O49"/>
      <c r="P49"/>
    </row>
    <row r="50" spans="1:16" ht="15" x14ac:dyDescent="0.25">
      <c r="A50" s="203"/>
      <c r="B50" s="203"/>
      <c r="C50" s="207"/>
      <c r="D50" s="207"/>
      <c r="E50" s="207"/>
      <c r="F50" s="207"/>
      <c r="G50"/>
      <c r="H50"/>
      <c r="I50"/>
      <c r="J50"/>
      <c r="K50"/>
      <c r="L50"/>
      <c r="M50"/>
      <c r="N50"/>
      <c r="O50"/>
      <c r="P50"/>
    </row>
    <row r="51" spans="1:16" ht="15" x14ac:dyDescent="0.25">
      <c r="A51" s="208" t="s">
        <v>760</v>
      </c>
      <c r="B51" s="208"/>
      <c r="C51" s="207"/>
      <c r="D51" s="207"/>
      <c r="E51" s="207"/>
      <c r="F51" s="207"/>
      <c r="G51"/>
      <c r="H51"/>
      <c r="I51"/>
      <c r="J51"/>
      <c r="K51"/>
      <c r="L51"/>
      <c r="M51"/>
      <c r="N51"/>
      <c r="O51"/>
      <c r="P51"/>
    </row>
    <row r="52" spans="1:16" ht="15" x14ac:dyDescent="0.25">
      <c r="A52" s="203" t="s">
        <v>761</v>
      </c>
      <c r="B52" s="203">
        <v>48</v>
      </c>
      <c r="C52" s="207"/>
      <c r="D52" s="207">
        <v>550875</v>
      </c>
      <c r="E52" s="207">
        <f>(D52/B52)</f>
        <v>11476.5625</v>
      </c>
      <c r="F52" s="207"/>
      <c r="G52"/>
      <c r="H52"/>
      <c r="I52"/>
      <c r="J52"/>
      <c r="K52"/>
      <c r="L52"/>
      <c r="M52"/>
      <c r="N52"/>
      <c r="O52"/>
      <c r="P52"/>
    </row>
    <row r="53" spans="1:16" ht="15" x14ac:dyDescent="0.25">
      <c r="A53" s="203"/>
      <c r="B53" s="203"/>
      <c r="C53" s="203"/>
      <c r="D53" s="203"/>
      <c r="E53" s="203"/>
      <c r="F53" s="207"/>
      <c r="G53"/>
      <c r="H53"/>
      <c r="I53"/>
      <c r="J53"/>
      <c r="K53"/>
      <c r="L53"/>
      <c r="M53"/>
      <c r="N53"/>
      <c r="O53"/>
      <c r="P53"/>
    </row>
    <row r="54" spans="1:16" ht="15" x14ac:dyDescent="0.25">
      <c r="A54" s="203"/>
      <c r="B54" s="203"/>
      <c r="C54" s="252" t="s">
        <v>762</v>
      </c>
      <c r="D54" s="252"/>
      <c r="E54" s="209">
        <f>SUM(E40:E52)/6</f>
        <v>10363.388888888889</v>
      </c>
      <c r="F54" s="209">
        <f>SUM(F44:F49)/4</f>
        <v>13206.482638888889</v>
      </c>
      <c r="G54"/>
      <c r="H54" t="s">
        <v>889</v>
      </c>
      <c r="I54" t="s">
        <v>890</v>
      </c>
      <c r="J54"/>
      <c r="K54"/>
      <c r="L54"/>
      <c r="M54"/>
      <c r="N54"/>
      <c r="O54"/>
      <c r="P54"/>
    </row>
    <row r="55" spans="1:16" x14ac:dyDescent="0.2">
      <c r="H55" s="109">
        <v>6</v>
      </c>
      <c r="I55" s="228">
        <f>D40</f>
        <v>44806</v>
      </c>
    </row>
    <row r="56" spans="1:16" x14ac:dyDescent="0.2">
      <c r="H56" s="109">
        <v>8</v>
      </c>
      <c r="I56" s="228">
        <f>D41</f>
        <v>53197</v>
      </c>
    </row>
    <row r="57" spans="1:16" x14ac:dyDescent="0.2">
      <c r="H57" s="109">
        <v>12</v>
      </c>
      <c r="I57" s="228">
        <f>D44</f>
        <v>153212</v>
      </c>
    </row>
    <row r="58" spans="1:16" x14ac:dyDescent="0.2">
      <c r="H58" s="109">
        <v>16</v>
      </c>
      <c r="I58" s="228">
        <f>D45</f>
        <v>192173</v>
      </c>
    </row>
    <row r="59" spans="1:16" x14ac:dyDescent="0.2">
      <c r="H59" s="109">
        <v>24</v>
      </c>
      <c r="I59" s="228">
        <f>D46</f>
        <v>283392</v>
      </c>
    </row>
    <row r="60" spans="1:16" x14ac:dyDescent="0.2">
      <c r="H60" s="109">
        <v>36</v>
      </c>
      <c r="I60" s="228">
        <f>D49</f>
        <v>396807.85030448716</v>
      </c>
    </row>
    <row r="61" spans="1:16" x14ac:dyDescent="0.2">
      <c r="H61" s="109">
        <v>48</v>
      </c>
      <c r="I61" s="228">
        <f>D52</f>
        <v>550875</v>
      </c>
    </row>
  </sheetData>
  <sortState ref="D3:E15">
    <sortCondition ref="D3:D15"/>
  </sortState>
  <mergeCells count="2">
    <mergeCell ref="A37:P37"/>
    <mergeCell ref="C54:D54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20A11-B00A-4280-84A2-3680D8F9F92C}">
  <sheetPr codeName="Sheet1"/>
  <dimension ref="A1:T152"/>
  <sheetViews>
    <sheetView zoomScale="113" zoomScaleNormal="113" zoomScaleSheetLayoutView="149" workbookViewId="0">
      <selection activeCell="J12" sqref="J12:J13"/>
    </sheetView>
  </sheetViews>
  <sheetFormatPr defaultRowHeight="15" x14ac:dyDescent="0.2"/>
  <cols>
    <col min="1" max="1" width="9.140625" style="1"/>
    <col min="2" max="2" width="52.140625" style="1" bestFit="1" customWidth="1"/>
    <col min="3" max="3" width="12.85546875" style="1" bestFit="1" customWidth="1"/>
    <col min="4" max="4" width="13.140625" style="1" customWidth="1"/>
    <col min="5" max="5" width="66.28515625" style="1" bestFit="1" customWidth="1"/>
    <col min="6" max="6" width="10.28515625" style="1" customWidth="1"/>
    <col min="7" max="8" width="9.140625" style="1"/>
    <col min="9" max="9" width="17.42578125" style="1" customWidth="1"/>
    <col min="10" max="10" width="23.85546875" style="1" customWidth="1"/>
    <col min="11" max="16384" width="9.140625" style="1"/>
  </cols>
  <sheetData>
    <row r="1" spans="1:20" ht="15.75" x14ac:dyDescent="0.25">
      <c r="A1" s="38" t="s">
        <v>376</v>
      </c>
      <c r="F1" s="100" t="s">
        <v>375</v>
      </c>
      <c r="G1" s="85"/>
      <c r="H1" s="78"/>
      <c r="I1" s="102" t="s">
        <v>374</v>
      </c>
      <c r="J1" s="85" t="s">
        <v>373</v>
      </c>
      <c r="K1" s="85" t="s">
        <v>372</v>
      </c>
      <c r="L1" s="80"/>
      <c r="M1" s="80"/>
      <c r="N1" s="70"/>
      <c r="O1" s="70"/>
    </row>
    <row r="2" spans="1:20" x14ac:dyDescent="0.2">
      <c r="A2" s="1" t="s">
        <v>371</v>
      </c>
      <c r="F2" s="100" t="s">
        <v>370</v>
      </c>
      <c r="G2" s="99"/>
      <c r="H2" s="98"/>
      <c r="I2" s="87" t="s">
        <v>369</v>
      </c>
      <c r="J2" s="101">
        <v>1</v>
      </c>
      <c r="K2" s="101">
        <v>2</v>
      </c>
      <c r="L2" s="80"/>
      <c r="M2" s="80"/>
      <c r="N2" s="70"/>
      <c r="O2" s="70"/>
    </row>
    <row r="3" spans="1:20" ht="30" customHeight="1" x14ac:dyDescent="0.2">
      <c r="A3" s="1" t="s">
        <v>368</v>
      </c>
      <c r="B3" s="1" t="s">
        <v>367</v>
      </c>
      <c r="C3" s="83">
        <v>2</v>
      </c>
      <c r="D3" s="1" t="s">
        <v>92</v>
      </c>
      <c r="E3" s="1" t="s">
        <v>366</v>
      </c>
      <c r="F3" s="100" t="s">
        <v>365</v>
      </c>
      <c r="G3" s="99"/>
      <c r="H3" s="98"/>
      <c r="I3" s="97" t="s">
        <v>364</v>
      </c>
      <c r="J3" s="86">
        <v>5</v>
      </c>
      <c r="K3" s="85">
        <v>5</v>
      </c>
      <c r="L3" s="94"/>
      <c r="M3" s="94"/>
      <c r="N3" s="70"/>
      <c r="O3" s="70"/>
    </row>
    <row r="4" spans="1:20" ht="30.75" customHeight="1" x14ac:dyDescent="0.2">
      <c r="A4" s="1" t="s">
        <v>363</v>
      </c>
      <c r="B4" s="1" t="s">
        <v>362</v>
      </c>
      <c r="C4" s="83">
        <v>2</v>
      </c>
      <c r="D4" s="1" t="s">
        <v>92</v>
      </c>
      <c r="E4" s="1" t="s">
        <v>361</v>
      </c>
      <c r="F4" s="96" t="s">
        <v>360</v>
      </c>
      <c r="G4" s="86"/>
      <c r="I4" s="97" t="s">
        <v>359</v>
      </c>
      <c r="J4" s="86">
        <v>3</v>
      </c>
      <c r="K4" s="85">
        <v>3</v>
      </c>
      <c r="L4" s="93"/>
      <c r="M4" s="93"/>
      <c r="N4" s="70"/>
      <c r="O4" s="70"/>
    </row>
    <row r="5" spans="1:20" ht="30.75" customHeight="1" x14ac:dyDescent="0.2">
      <c r="A5" s="1" t="s">
        <v>358</v>
      </c>
      <c r="B5" s="1" t="s">
        <v>357</v>
      </c>
      <c r="C5" s="83">
        <v>1</v>
      </c>
      <c r="E5" s="1" t="s">
        <v>356</v>
      </c>
      <c r="F5" s="96" t="s">
        <v>355</v>
      </c>
      <c r="G5" s="86"/>
      <c r="I5" s="87" t="s">
        <v>354</v>
      </c>
      <c r="J5" s="86">
        <v>0.88</v>
      </c>
      <c r="K5" s="85">
        <v>0.88</v>
      </c>
      <c r="L5" s="93"/>
      <c r="M5" s="93"/>
      <c r="N5" s="70"/>
      <c r="O5" s="70"/>
    </row>
    <row r="6" spans="1:20" ht="30.75" customHeight="1" x14ac:dyDescent="0.2">
      <c r="A6" s="1" t="s">
        <v>353</v>
      </c>
      <c r="B6" s="1" t="s">
        <v>352</v>
      </c>
      <c r="C6" s="83">
        <v>2</v>
      </c>
      <c r="E6" s="1" t="s">
        <v>351</v>
      </c>
      <c r="F6" s="96" t="s">
        <v>350</v>
      </c>
      <c r="G6" s="86"/>
      <c r="I6" s="87" t="s">
        <v>349</v>
      </c>
      <c r="J6" s="86">
        <v>0.1</v>
      </c>
      <c r="K6" s="85">
        <v>0.08</v>
      </c>
      <c r="L6" s="93"/>
      <c r="M6" s="93"/>
      <c r="N6" s="70"/>
      <c r="O6" s="70"/>
    </row>
    <row r="7" spans="1:20" x14ac:dyDescent="0.2">
      <c r="A7" s="1" t="s">
        <v>348</v>
      </c>
      <c r="B7" s="1" t="s">
        <v>347</v>
      </c>
      <c r="C7" s="83">
        <v>123</v>
      </c>
      <c r="D7" s="1" t="s">
        <v>34</v>
      </c>
      <c r="I7" s="87" t="s">
        <v>346</v>
      </c>
      <c r="J7" s="86">
        <v>7.5</v>
      </c>
      <c r="K7" s="85">
        <v>7</v>
      </c>
      <c r="L7" s="93"/>
      <c r="M7" s="93"/>
      <c r="N7" s="70"/>
      <c r="O7" s="70"/>
    </row>
    <row r="8" spans="1:20" x14ac:dyDescent="0.2">
      <c r="A8" s="1" t="s">
        <v>345</v>
      </c>
      <c r="B8" s="1" t="s">
        <v>344</v>
      </c>
      <c r="C8" s="83">
        <v>3175</v>
      </c>
      <c r="D8" s="1" t="s">
        <v>161</v>
      </c>
      <c r="I8" s="87" t="s">
        <v>343</v>
      </c>
      <c r="J8" s="86">
        <v>0.04</v>
      </c>
      <c r="K8" s="95">
        <v>0.03</v>
      </c>
      <c r="L8" s="93"/>
      <c r="M8" s="93"/>
      <c r="N8" s="70"/>
      <c r="O8" s="70"/>
      <c r="P8" s="94"/>
      <c r="Q8" s="93"/>
      <c r="R8" s="93"/>
      <c r="S8" s="93"/>
      <c r="T8" s="70"/>
    </row>
    <row r="9" spans="1:20" ht="15.75" x14ac:dyDescent="0.25">
      <c r="A9" s="1" t="s">
        <v>342</v>
      </c>
      <c r="B9" s="1" t="s">
        <v>341</v>
      </c>
      <c r="C9" s="92">
        <v>5</v>
      </c>
      <c r="D9" s="1" t="s">
        <v>340</v>
      </c>
      <c r="E9" s="1" t="s">
        <v>339</v>
      </c>
      <c r="G9" s="91"/>
      <c r="I9" s="87" t="s">
        <v>338</v>
      </c>
      <c r="J9" s="86">
        <v>1</v>
      </c>
      <c r="K9" s="85">
        <v>1.2</v>
      </c>
      <c r="L9" s="90"/>
      <c r="M9" s="88"/>
      <c r="N9" s="89"/>
      <c r="O9" s="88"/>
      <c r="P9" s="70"/>
      <c r="Q9" s="70"/>
      <c r="R9" s="70"/>
      <c r="S9" s="70"/>
      <c r="T9" s="70"/>
    </row>
    <row r="10" spans="1:20" ht="15.75" x14ac:dyDescent="0.25">
      <c r="A10" s="1" t="s">
        <v>337</v>
      </c>
      <c r="B10" s="1" t="s">
        <v>336</v>
      </c>
      <c r="C10" s="83">
        <f>38*25.4</f>
        <v>965.19999999999993</v>
      </c>
      <c r="D10" s="1" t="s">
        <v>161</v>
      </c>
      <c r="E10" s="82" t="s">
        <v>335</v>
      </c>
      <c r="I10" s="87" t="s">
        <v>334</v>
      </c>
      <c r="J10" s="86">
        <v>0.5</v>
      </c>
      <c r="K10" s="85">
        <v>0.5</v>
      </c>
      <c r="L10" s="74"/>
      <c r="M10" s="84"/>
      <c r="N10" s="84"/>
      <c r="O10" s="80"/>
      <c r="P10" s="73"/>
      <c r="Q10" s="73"/>
      <c r="R10" s="73"/>
      <c r="S10" s="73"/>
      <c r="T10" s="70"/>
    </row>
    <row r="11" spans="1:20" ht="15.75" x14ac:dyDescent="0.25">
      <c r="A11" s="1" t="s">
        <v>333</v>
      </c>
      <c r="B11" s="1" t="s">
        <v>332</v>
      </c>
      <c r="C11" s="83">
        <f>17*25.4</f>
        <v>431.79999999999995</v>
      </c>
      <c r="D11" s="1" t="s">
        <v>161</v>
      </c>
      <c r="E11" s="82" t="s">
        <v>331</v>
      </c>
      <c r="L11" s="74"/>
      <c r="M11" s="81"/>
      <c r="N11" s="81"/>
      <c r="O11" s="80"/>
      <c r="P11" s="73"/>
      <c r="Q11" s="73"/>
      <c r="R11" s="73"/>
      <c r="S11" s="73"/>
      <c r="T11" s="70"/>
    </row>
    <row r="12" spans="1:20" ht="15.75" x14ac:dyDescent="0.25">
      <c r="A12" s="1" t="s">
        <v>330</v>
      </c>
      <c r="C12" s="48"/>
      <c r="I12" s="79"/>
      <c r="J12" s="2" t="s">
        <v>925</v>
      </c>
      <c r="K12" s="78"/>
      <c r="L12" s="73"/>
      <c r="M12" s="74"/>
      <c r="N12" s="75"/>
      <c r="O12" s="74"/>
      <c r="P12" s="73"/>
      <c r="Q12" s="73"/>
      <c r="R12" s="73"/>
      <c r="S12" s="73"/>
      <c r="T12" s="70"/>
    </row>
    <row r="13" spans="1:20" ht="15.75" x14ac:dyDescent="0.25">
      <c r="A13" s="1" t="s">
        <v>329</v>
      </c>
      <c r="B13" s="1" t="s">
        <v>328</v>
      </c>
      <c r="C13" s="77">
        <v>0.9</v>
      </c>
      <c r="D13" s="1" t="s">
        <v>108</v>
      </c>
      <c r="E13" s="55"/>
      <c r="I13" s="2"/>
      <c r="J13" s="248" t="s">
        <v>926</v>
      </c>
      <c r="K13" s="76"/>
      <c r="L13" s="73"/>
      <c r="M13" s="74"/>
      <c r="N13" s="75"/>
      <c r="O13" s="74"/>
      <c r="P13" s="73"/>
      <c r="Q13" s="73"/>
      <c r="R13" s="73"/>
      <c r="S13" s="73"/>
      <c r="T13" s="70"/>
    </row>
    <row r="14" spans="1:20" x14ac:dyDescent="0.2">
      <c r="A14" s="1" t="s">
        <v>327</v>
      </c>
      <c r="B14" s="1" t="s">
        <v>326</v>
      </c>
      <c r="C14" s="71">
        <f>25.4*14.9</f>
        <v>378.46</v>
      </c>
      <c r="D14" s="1" t="s">
        <v>161</v>
      </c>
      <c r="J14" s="74"/>
      <c r="K14" s="73"/>
      <c r="L14" s="73"/>
      <c r="M14" s="74"/>
      <c r="N14" s="73"/>
      <c r="O14" s="74"/>
      <c r="P14" s="73"/>
      <c r="Q14" s="73"/>
      <c r="R14" s="73"/>
      <c r="S14" s="73"/>
      <c r="T14" s="70"/>
    </row>
    <row r="15" spans="1:20" x14ac:dyDescent="0.2">
      <c r="A15" s="1" t="s">
        <v>325</v>
      </c>
      <c r="B15" s="1" t="s">
        <v>324</v>
      </c>
      <c r="C15" s="72">
        <v>0.85</v>
      </c>
      <c r="D15" s="1" t="s">
        <v>92</v>
      </c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</row>
    <row r="16" spans="1:20" x14ac:dyDescent="0.2">
      <c r="A16" s="1" t="s">
        <v>323</v>
      </c>
      <c r="B16" s="1" t="s">
        <v>322</v>
      </c>
      <c r="C16" s="71">
        <f>25.4*30</f>
        <v>762</v>
      </c>
      <c r="D16" s="1" t="s">
        <v>161</v>
      </c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</row>
    <row r="17" spans="1:20" x14ac:dyDescent="0.2">
      <c r="A17" s="1" t="s">
        <v>321</v>
      </c>
      <c r="B17" s="1" t="s">
        <v>320</v>
      </c>
      <c r="C17" s="71">
        <f>40228*1</f>
        <v>40228</v>
      </c>
      <c r="D17" s="1" t="s">
        <v>5</v>
      </c>
      <c r="E17" s="1" t="s">
        <v>319</v>
      </c>
      <c r="O17" s="70"/>
      <c r="P17" s="70"/>
      <c r="Q17" s="70"/>
      <c r="R17" s="70"/>
      <c r="S17" s="70"/>
      <c r="T17" s="70"/>
    </row>
    <row r="18" spans="1:20" x14ac:dyDescent="0.2">
      <c r="A18" s="1" t="s">
        <v>318</v>
      </c>
      <c r="C18" s="48"/>
    </row>
    <row r="19" spans="1:20" x14ac:dyDescent="0.2">
      <c r="A19" s="1" t="s">
        <v>317</v>
      </c>
      <c r="B19" s="1" t="s">
        <v>316</v>
      </c>
      <c r="C19" s="68">
        <f>25.4*18.4</f>
        <v>467.35999999999996</v>
      </c>
      <c r="D19" s="1" t="s">
        <v>161</v>
      </c>
    </row>
    <row r="20" spans="1:20" x14ac:dyDescent="0.2">
      <c r="A20" s="1" t="s">
        <v>315</v>
      </c>
      <c r="B20" s="1" t="s">
        <v>314</v>
      </c>
      <c r="C20" s="69">
        <v>0.85</v>
      </c>
      <c r="D20" s="1" t="s">
        <v>92</v>
      </c>
    </row>
    <row r="21" spans="1:20" x14ac:dyDescent="0.2">
      <c r="A21" s="1" t="s">
        <v>313</v>
      </c>
      <c r="B21" s="1" t="s">
        <v>312</v>
      </c>
      <c r="C21" s="68">
        <f>25.4*42</f>
        <v>1066.8</v>
      </c>
      <c r="D21" s="1" t="s">
        <v>161</v>
      </c>
    </row>
    <row r="22" spans="1:20" x14ac:dyDescent="0.2">
      <c r="A22" s="1" t="s">
        <v>311</v>
      </c>
      <c r="B22" s="1" t="s">
        <v>310</v>
      </c>
      <c r="C22" s="68">
        <f>61558*1</f>
        <v>61558</v>
      </c>
      <c r="D22" s="1" t="s">
        <v>5</v>
      </c>
      <c r="E22" s="1" t="s">
        <v>309</v>
      </c>
    </row>
    <row r="23" spans="1:20" x14ac:dyDescent="0.2">
      <c r="A23" s="1" t="s">
        <v>74</v>
      </c>
      <c r="C23" s="7"/>
    </row>
    <row r="24" spans="1:20" x14ac:dyDescent="0.2">
      <c r="A24" s="67" t="s">
        <v>308</v>
      </c>
      <c r="B24" s="67" t="s">
        <v>307</v>
      </c>
      <c r="C24" s="66">
        <v>0.9</v>
      </c>
      <c r="D24" s="1" t="s">
        <v>30</v>
      </c>
      <c r="E24" s="55"/>
    </row>
    <row r="25" spans="1:20" x14ac:dyDescent="0.2">
      <c r="A25" s="1" t="s">
        <v>306</v>
      </c>
      <c r="B25" s="1" t="s">
        <v>305</v>
      </c>
      <c r="C25" s="64">
        <v>2100</v>
      </c>
      <c r="D25" s="1" t="s">
        <v>12</v>
      </c>
    </row>
    <row r="26" spans="1:20" x14ac:dyDescent="0.2">
      <c r="A26" s="1" t="s">
        <v>304</v>
      </c>
      <c r="B26" s="1" t="s">
        <v>303</v>
      </c>
      <c r="C26" s="64">
        <v>2300</v>
      </c>
      <c r="D26" s="1" t="s">
        <v>12</v>
      </c>
    </row>
    <row r="27" spans="1:20" x14ac:dyDescent="0.2">
      <c r="A27" s="1" t="s">
        <v>302</v>
      </c>
      <c r="B27" s="1" t="s">
        <v>301</v>
      </c>
      <c r="C27" s="65">
        <v>0.53400000000000003</v>
      </c>
      <c r="D27" s="1" t="s">
        <v>30</v>
      </c>
    </row>
    <row r="28" spans="1:20" x14ac:dyDescent="0.2">
      <c r="A28" s="1" t="s">
        <v>300</v>
      </c>
      <c r="B28" s="1" t="s">
        <v>299</v>
      </c>
      <c r="C28" s="64">
        <v>1380</v>
      </c>
      <c r="D28" s="1" t="s">
        <v>12</v>
      </c>
    </row>
    <row r="29" spans="1:20" x14ac:dyDescent="0.2">
      <c r="A29" s="1" t="s">
        <v>298</v>
      </c>
      <c r="B29" s="1" t="s">
        <v>297</v>
      </c>
      <c r="C29" s="63">
        <v>800</v>
      </c>
      <c r="D29" s="1" t="s">
        <v>12</v>
      </c>
    </row>
    <row r="30" spans="1:20" x14ac:dyDescent="0.2">
      <c r="A30" s="1" t="s">
        <v>296</v>
      </c>
      <c r="B30" s="1" t="s">
        <v>295</v>
      </c>
      <c r="C30" s="63">
        <v>800</v>
      </c>
      <c r="D30" s="1" t="s">
        <v>16</v>
      </c>
    </row>
    <row r="31" spans="1:20" x14ac:dyDescent="0.2">
      <c r="A31" s="1" t="s">
        <v>294</v>
      </c>
      <c r="B31" s="1" t="s">
        <v>293</v>
      </c>
      <c r="C31" s="62">
        <v>0.23496446019280451</v>
      </c>
      <c r="D31" s="1" t="s">
        <v>38</v>
      </c>
      <c r="E31" s="1" t="s">
        <v>285</v>
      </c>
    </row>
    <row r="32" spans="1:20" x14ac:dyDescent="0.2">
      <c r="A32" s="1" t="s">
        <v>292</v>
      </c>
      <c r="B32" s="1" t="s">
        <v>291</v>
      </c>
      <c r="C32" s="61">
        <v>7.6031680850136757E-2</v>
      </c>
      <c r="D32" s="1" t="s">
        <v>38</v>
      </c>
      <c r="E32" s="1" t="s">
        <v>285</v>
      </c>
    </row>
    <row r="33" spans="1:5" x14ac:dyDescent="0.2">
      <c r="A33" s="1" t="s">
        <v>290</v>
      </c>
      <c r="B33" s="1" t="s">
        <v>289</v>
      </c>
      <c r="C33" s="60">
        <v>2.7577112135277614E-3</v>
      </c>
      <c r="D33" s="1" t="s">
        <v>286</v>
      </c>
      <c r="E33" s="1" t="s">
        <v>285</v>
      </c>
    </row>
    <row r="34" spans="1:5" x14ac:dyDescent="0.2">
      <c r="A34" s="1" t="s">
        <v>288</v>
      </c>
      <c r="B34" s="1" t="s">
        <v>287</v>
      </c>
      <c r="C34" s="60">
        <v>8.2631561158154898E-3</v>
      </c>
      <c r="D34" s="1" t="s">
        <v>286</v>
      </c>
      <c r="E34" s="1" t="s">
        <v>285</v>
      </c>
    </row>
    <row r="35" spans="1:5" x14ac:dyDescent="0.2">
      <c r="A35" s="1" t="s">
        <v>284</v>
      </c>
      <c r="C35" s="7"/>
    </row>
    <row r="36" spans="1:5" x14ac:dyDescent="0.2">
      <c r="A36" s="1" t="s">
        <v>283</v>
      </c>
      <c r="B36" s="1" t="s">
        <v>282</v>
      </c>
      <c r="C36" s="57">
        <v>0.9</v>
      </c>
      <c r="D36" s="1" t="s">
        <v>30</v>
      </c>
    </row>
    <row r="37" spans="1:5" x14ac:dyDescent="0.2">
      <c r="A37" s="1" t="s">
        <v>281</v>
      </c>
      <c r="B37" s="1" t="s">
        <v>280</v>
      </c>
      <c r="C37" s="59">
        <v>8</v>
      </c>
      <c r="E37" s="55" t="s">
        <v>279</v>
      </c>
    </row>
    <row r="38" spans="1:5" x14ac:dyDescent="0.2">
      <c r="A38" s="1" t="s">
        <v>278</v>
      </c>
      <c r="B38" s="1" t="s">
        <v>277</v>
      </c>
      <c r="C38" s="59">
        <v>4</v>
      </c>
      <c r="E38" s="1" t="s">
        <v>274</v>
      </c>
    </row>
    <row r="39" spans="1:5" x14ac:dyDescent="0.2">
      <c r="A39" s="1" t="s">
        <v>276</v>
      </c>
      <c r="B39" s="1" t="s">
        <v>275</v>
      </c>
      <c r="C39" s="59">
        <v>3</v>
      </c>
      <c r="E39" s="1" t="s">
        <v>274</v>
      </c>
    </row>
    <row r="40" spans="1:5" x14ac:dyDescent="0.2">
      <c r="A40" s="1" t="s">
        <v>273</v>
      </c>
      <c r="B40" s="1" t="s">
        <v>272</v>
      </c>
      <c r="C40" s="58">
        <f>1/1.37</f>
        <v>0.72992700729927007</v>
      </c>
      <c r="E40" s="1" t="s">
        <v>271</v>
      </c>
    </row>
    <row r="41" spans="1:5" x14ac:dyDescent="0.2">
      <c r="A41" s="1" t="s">
        <v>270</v>
      </c>
      <c r="B41" s="1" t="s">
        <v>269</v>
      </c>
      <c r="C41" s="57">
        <v>0.93</v>
      </c>
      <c r="D41" s="1" t="s">
        <v>30</v>
      </c>
    </row>
    <row r="42" spans="1:5" x14ac:dyDescent="0.2">
      <c r="A42" s="1" t="s">
        <v>268</v>
      </c>
      <c r="B42" s="1" t="s">
        <v>267</v>
      </c>
      <c r="C42" s="57">
        <v>0.96</v>
      </c>
      <c r="D42" s="1" t="s">
        <v>30</v>
      </c>
    </row>
    <row r="43" spans="1:5" x14ac:dyDescent="0.2">
      <c r="A43" s="1" t="s">
        <v>266</v>
      </c>
      <c r="B43" s="1" t="s">
        <v>265</v>
      </c>
      <c r="C43" s="57">
        <v>0.95</v>
      </c>
      <c r="D43" s="1" t="s">
        <v>30</v>
      </c>
    </row>
    <row r="44" spans="1:5" x14ac:dyDescent="0.2">
      <c r="A44" s="1" t="s">
        <v>264</v>
      </c>
      <c r="B44" s="1" t="s">
        <v>263</v>
      </c>
      <c r="C44" s="57">
        <v>0.93</v>
      </c>
      <c r="D44" s="1" t="s">
        <v>30</v>
      </c>
    </row>
    <row r="45" spans="1:5" x14ac:dyDescent="0.2">
      <c r="A45" s="1" t="s">
        <v>262</v>
      </c>
      <c r="C45" s="7"/>
    </row>
    <row r="46" spans="1:5" x14ac:dyDescent="0.2">
      <c r="A46" s="1" t="s">
        <v>261</v>
      </c>
      <c r="B46" s="1" t="s">
        <v>260</v>
      </c>
      <c r="C46" s="56">
        <v>10</v>
      </c>
      <c r="D46" s="1" t="s">
        <v>259</v>
      </c>
      <c r="E46" s="55"/>
    </row>
    <row r="47" spans="1:5" x14ac:dyDescent="0.2">
      <c r="A47" s="1" t="s">
        <v>258</v>
      </c>
      <c r="B47" s="1" t="s">
        <v>257</v>
      </c>
      <c r="C47" s="56">
        <v>25</v>
      </c>
      <c r="D47" s="1" t="s">
        <v>256</v>
      </c>
      <c r="E47" s="55"/>
    </row>
    <row r="48" spans="1:5" x14ac:dyDescent="0.2">
      <c r="A48" s="1" t="s">
        <v>255</v>
      </c>
      <c r="B48" s="1" t="s">
        <v>254</v>
      </c>
      <c r="C48" s="54">
        <v>123</v>
      </c>
      <c r="E48" s="1" t="s">
        <v>249</v>
      </c>
    </row>
    <row r="49" spans="1:5" x14ac:dyDescent="0.2">
      <c r="A49" s="1" t="s">
        <v>253</v>
      </c>
      <c r="B49" s="1" t="s">
        <v>252</v>
      </c>
      <c r="C49" s="53">
        <v>7.3</v>
      </c>
      <c r="E49" s="1" t="s">
        <v>249</v>
      </c>
    </row>
    <row r="50" spans="1:5" x14ac:dyDescent="0.2">
      <c r="A50" s="1" t="s">
        <v>251</v>
      </c>
      <c r="B50" s="1" t="s">
        <v>250</v>
      </c>
      <c r="C50" s="53">
        <v>0</v>
      </c>
      <c r="E50" s="1" t="s">
        <v>249</v>
      </c>
    </row>
    <row r="51" spans="1:5" x14ac:dyDescent="0.2">
      <c r="A51" s="1" t="s">
        <v>248</v>
      </c>
      <c r="B51" s="1" t="s">
        <v>247</v>
      </c>
      <c r="C51" s="53">
        <v>0.85</v>
      </c>
      <c r="E51" s="1" t="s">
        <v>246</v>
      </c>
    </row>
    <row r="52" spans="1:5" x14ac:dyDescent="0.2">
      <c r="C52" s="7"/>
    </row>
    <row r="53" spans="1:5" s="49" customFormat="1" ht="15.75" x14ac:dyDescent="0.25">
      <c r="A53" s="52" t="s">
        <v>245</v>
      </c>
      <c r="C53" s="50"/>
    </row>
    <row r="54" spans="1:5" s="49" customFormat="1" x14ac:dyDescent="0.2">
      <c r="A54" s="49" t="s">
        <v>244</v>
      </c>
      <c r="B54" s="49" t="s">
        <v>243</v>
      </c>
      <c r="C54" s="50">
        <v>2001.6620831371249</v>
      </c>
      <c r="D54" s="49" t="s">
        <v>12</v>
      </c>
    </row>
    <row r="55" spans="1:5" s="49" customFormat="1" x14ac:dyDescent="0.2">
      <c r="A55" s="49" t="s">
        <v>242</v>
      </c>
      <c r="B55" s="49" t="s">
        <v>241</v>
      </c>
      <c r="C55" s="51">
        <v>8.379947176027773E-2</v>
      </c>
      <c r="D55" s="49" t="s">
        <v>30</v>
      </c>
    </row>
    <row r="56" spans="1:5" s="49" customFormat="1" x14ac:dyDescent="0.2">
      <c r="A56" s="49" t="s">
        <v>240</v>
      </c>
      <c r="B56" s="49" t="s">
        <v>239</v>
      </c>
      <c r="C56" s="50">
        <v>35691.366653853765</v>
      </c>
      <c r="D56" s="49" t="s">
        <v>5</v>
      </c>
    </row>
    <row r="57" spans="1:5" x14ac:dyDescent="0.2">
      <c r="C57" s="7"/>
    </row>
    <row r="58" spans="1:5" ht="15.75" x14ac:dyDescent="0.25">
      <c r="A58" s="38" t="s">
        <v>238</v>
      </c>
      <c r="C58" s="48"/>
    </row>
    <row r="59" spans="1:5" s="39" customFormat="1" x14ac:dyDescent="0.2">
      <c r="A59" s="39" t="s">
        <v>74</v>
      </c>
      <c r="C59" s="47"/>
    </row>
    <row r="60" spans="1:5" s="39" customFormat="1" x14ac:dyDescent="0.2">
      <c r="A60" s="39" t="s">
        <v>237</v>
      </c>
      <c r="B60" s="39" t="s">
        <v>236</v>
      </c>
      <c r="C60" s="41">
        <f>Ppto/Epto</f>
        <v>136.66666666666666</v>
      </c>
      <c r="D60" s="39" t="s">
        <v>34</v>
      </c>
      <c r="E60" s="40" t="s">
        <v>235</v>
      </c>
    </row>
    <row r="61" spans="1:5" s="39" customFormat="1" x14ac:dyDescent="0.2">
      <c r="A61" s="39" t="s">
        <v>234</v>
      </c>
      <c r="B61" s="39" t="s">
        <v>233</v>
      </c>
      <c r="C61" s="41">
        <f>Preng/Nr*9549</f>
        <v>621.44285714285706</v>
      </c>
      <c r="D61" s="39" t="s">
        <v>16</v>
      </c>
      <c r="E61" s="40" t="s">
        <v>232</v>
      </c>
    </row>
    <row r="62" spans="1:5" s="39" customFormat="1" x14ac:dyDescent="0.2">
      <c r="A62" s="39" t="s">
        <v>231</v>
      </c>
      <c r="B62" s="39" t="s">
        <v>230</v>
      </c>
      <c r="C62" s="41">
        <f>Treng*(1+Trise)</f>
        <v>953.29334285714276</v>
      </c>
      <c r="D62" s="39" t="s">
        <v>16</v>
      </c>
      <c r="E62" s="40" t="s">
        <v>229</v>
      </c>
    </row>
    <row r="63" spans="1:5" s="39" customFormat="1" x14ac:dyDescent="0.2">
      <c r="A63" s="39" t="s">
        <v>228</v>
      </c>
      <c r="B63" s="39" t="s">
        <v>227</v>
      </c>
      <c r="C63" s="47">
        <f>(Treng-0)/(Nr-Nhi)</f>
        <v>-3.1072142857142855</v>
      </c>
      <c r="D63" s="39" t="s">
        <v>217</v>
      </c>
      <c r="E63" s="46" t="s">
        <v>226</v>
      </c>
    </row>
    <row r="64" spans="1:5" s="39" customFormat="1" x14ac:dyDescent="0.2">
      <c r="A64" s="39" t="s">
        <v>225</v>
      </c>
      <c r="B64" s="39" t="s">
        <v>224</v>
      </c>
      <c r="C64" s="43">
        <f>(Tmls-Tmx)/(Nls-Nmt)</f>
        <v>0.26429886699507371</v>
      </c>
      <c r="D64" s="39" t="s">
        <v>217</v>
      </c>
      <c r="E64" s="42" t="s">
        <v>223</v>
      </c>
    </row>
    <row r="65" spans="1:6" s="39" customFormat="1" x14ac:dyDescent="0.2">
      <c r="A65" s="39" t="s">
        <v>222</v>
      </c>
      <c r="B65" s="39" t="s">
        <v>221</v>
      </c>
      <c r="C65" s="45">
        <f>Tmx-g*Nmt</f>
        <v>588.56090640394109</v>
      </c>
      <c r="D65" s="39" t="s">
        <v>16</v>
      </c>
      <c r="E65" s="44" t="s">
        <v>220</v>
      </c>
    </row>
    <row r="66" spans="1:6" s="39" customFormat="1" x14ac:dyDescent="0.2">
      <c r="A66" s="39" t="s">
        <v>219</v>
      </c>
      <c r="B66" s="39" t="s">
        <v>218</v>
      </c>
      <c r="C66" s="43">
        <f>(Tmx-Treng)/(Nmt-Nr)</f>
        <v>-0.46090345238095237</v>
      </c>
      <c r="D66" s="39" t="s">
        <v>217</v>
      </c>
      <c r="E66" s="42" t="s">
        <v>216</v>
      </c>
    </row>
    <row r="67" spans="1:6" s="39" customFormat="1" x14ac:dyDescent="0.2">
      <c r="A67" s="39" t="s">
        <v>215</v>
      </c>
      <c r="B67" s="39" t="s">
        <v>214</v>
      </c>
      <c r="C67" s="41">
        <f>Treng-i*Nr</f>
        <v>1589.3401071428571</v>
      </c>
      <c r="D67" s="39" t="s">
        <v>16</v>
      </c>
      <c r="E67" s="40" t="s">
        <v>213</v>
      </c>
    </row>
    <row r="68" spans="1:6" s="8" customFormat="1" x14ac:dyDescent="0.2">
      <c r="A68" s="8" t="s">
        <v>158</v>
      </c>
      <c r="C68" s="17"/>
    </row>
    <row r="69" spans="1:6" s="8" customFormat="1" x14ac:dyDescent="0.2">
      <c r="A69" s="8" t="s">
        <v>212</v>
      </c>
      <c r="B69" s="8" t="s">
        <v>211</v>
      </c>
      <c r="C69" s="10">
        <f>rfo*wb/(rfo+rro)</f>
        <v>1254.8277759220325</v>
      </c>
      <c r="D69" s="8" t="s">
        <v>161</v>
      </c>
      <c r="E69" s="9" t="s">
        <v>210</v>
      </c>
    </row>
    <row r="70" spans="1:6" s="8" customFormat="1" x14ac:dyDescent="0.2">
      <c r="A70" s="8" t="s">
        <v>209</v>
      </c>
      <c r="B70" s="8" t="s">
        <v>208</v>
      </c>
      <c r="C70" s="17">
        <f>HLOOKUP(CTT,tires,2)</f>
        <v>5</v>
      </c>
      <c r="D70" s="8" t="s">
        <v>92</v>
      </c>
      <c r="E70" s="16" t="s">
        <v>207</v>
      </c>
      <c r="F70" s="17" t="s">
        <v>185</v>
      </c>
    </row>
    <row r="71" spans="1:6" s="8" customFormat="1" x14ac:dyDescent="0.2">
      <c r="A71" s="8" t="s">
        <v>206</v>
      </c>
      <c r="B71" s="8" t="s">
        <v>205</v>
      </c>
      <c r="C71" s="17">
        <f>HLOOKUP(CTT,tires,3)</f>
        <v>3</v>
      </c>
      <c r="D71" s="8" t="s">
        <v>92</v>
      </c>
      <c r="E71" s="16" t="s">
        <v>204</v>
      </c>
      <c r="F71" s="17" t="s">
        <v>185</v>
      </c>
    </row>
    <row r="72" spans="1:6" s="8" customFormat="1" x14ac:dyDescent="0.2">
      <c r="A72" s="8" t="s">
        <v>203</v>
      </c>
      <c r="B72" s="8" t="s">
        <v>202</v>
      </c>
      <c r="C72" s="17">
        <f>HLOOKUP(CTT,tires,4)</f>
        <v>0.88</v>
      </c>
      <c r="D72" s="8" t="s">
        <v>92</v>
      </c>
      <c r="E72" s="16" t="s">
        <v>201</v>
      </c>
      <c r="F72" s="17" t="s">
        <v>185</v>
      </c>
    </row>
    <row r="73" spans="1:6" s="8" customFormat="1" x14ac:dyDescent="0.2">
      <c r="A73" s="8" t="s">
        <v>200</v>
      </c>
      <c r="B73" s="8" t="s">
        <v>199</v>
      </c>
      <c r="C73" s="17">
        <f>HLOOKUP(CTT,tires,5)</f>
        <v>0.08</v>
      </c>
      <c r="D73" s="8" t="s">
        <v>92</v>
      </c>
      <c r="E73" s="16" t="s">
        <v>198</v>
      </c>
      <c r="F73" s="17" t="s">
        <v>185</v>
      </c>
    </row>
    <row r="74" spans="1:6" s="8" customFormat="1" x14ac:dyDescent="0.2">
      <c r="A74" s="8" t="s">
        <v>197</v>
      </c>
      <c r="B74" s="8" t="s">
        <v>196</v>
      </c>
      <c r="C74" s="17">
        <f>HLOOKUP(CTT,tires,6)</f>
        <v>7</v>
      </c>
      <c r="D74" s="8" t="s">
        <v>92</v>
      </c>
      <c r="E74" s="16" t="s">
        <v>195</v>
      </c>
      <c r="F74" s="17" t="s">
        <v>185</v>
      </c>
    </row>
    <row r="75" spans="1:6" s="8" customFormat="1" x14ac:dyDescent="0.2">
      <c r="A75" s="8" t="s">
        <v>194</v>
      </c>
      <c r="B75" s="8" t="s">
        <v>193</v>
      </c>
      <c r="C75" s="17">
        <f>HLOOKUP(CTT,tires,7)</f>
        <v>0.03</v>
      </c>
      <c r="D75" s="8" t="s">
        <v>92</v>
      </c>
      <c r="E75" s="16" t="s">
        <v>192</v>
      </c>
      <c r="F75" s="17" t="s">
        <v>185</v>
      </c>
    </row>
    <row r="76" spans="1:6" s="8" customFormat="1" x14ac:dyDescent="0.2">
      <c r="A76" s="8" t="s">
        <v>191</v>
      </c>
      <c r="B76" s="8" t="s">
        <v>190</v>
      </c>
      <c r="C76" s="17">
        <f>HLOOKUP(CTT,tires,8)</f>
        <v>1.2</v>
      </c>
      <c r="D76" s="8" t="s">
        <v>92</v>
      </c>
      <c r="E76" s="16" t="s">
        <v>189</v>
      </c>
      <c r="F76" s="17" t="s">
        <v>185</v>
      </c>
    </row>
    <row r="77" spans="1:6" s="8" customFormat="1" x14ac:dyDescent="0.2">
      <c r="A77" s="8" t="s">
        <v>188</v>
      </c>
      <c r="B77" s="8" t="s">
        <v>187</v>
      </c>
      <c r="C77" s="17">
        <f>HLOOKUP(CTT,tires,9)</f>
        <v>0.5</v>
      </c>
      <c r="D77" s="8" t="s">
        <v>92</v>
      </c>
      <c r="E77" s="16" t="s">
        <v>186</v>
      </c>
      <c r="F77" s="17" t="s">
        <v>185</v>
      </c>
    </row>
    <row r="78" spans="1:6" s="8" customFormat="1" x14ac:dyDescent="0.2">
      <c r="A78" s="8" t="s">
        <v>184</v>
      </c>
      <c r="B78" s="8" t="s">
        <v>183</v>
      </c>
      <c r="C78" s="10">
        <f>bf*raf</f>
        <v>321.69099999999997</v>
      </c>
      <c r="D78" s="8" t="s">
        <v>161</v>
      </c>
      <c r="E78" s="9" t="s">
        <v>182</v>
      </c>
    </row>
    <row r="79" spans="1:6" s="8" customFormat="1" x14ac:dyDescent="0.2">
      <c r="A79" s="8" t="s">
        <v>181</v>
      </c>
      <c r="B79" s="8" t="s">
        <v>180</v>
      </c>
      <c r="C79" s="10">
        <f>dnrf+2*hf</f>
        <v>1405.3820000000001</v>
      </c>
      <c r="D79" s="8" t="s">
        <v>161</v>
      </c>
      <c r="E79" s="9" t="s">
        <v>179</v>
      </c>
    </row>
    <row r="80" spans="1:6" s="8" customFormat="1" x14ac:dyDescent="0.2">
      <c r="A80" s="8" t="s">
        <v>178</v>
      </c>
      <c r="B80" s="8" t="s">
        <v>177</v>
      </c>
      <c r="C80" s="10">
        <f>0.19*hf</f>
        <v>61.121289999999995</v>
      </c>
      <c r="D80" s="8" t="s">
        <v>161</v>
      </c>
      <c r="E80" s="9" t="s">
        <v>176</v>
      </c>
    </row>
    <row r="81" spans="1:16" s="8" customFormat="1" x14ac:dyDescent="0.2">
      <c r="A81" s="8" t="s">
        <v>175</v>
      </c>
      <c r="B81" s="8" t="s">
        <v>174</v>
      </c>
      <c r="C81" s="10">
        <f>df/2-deltaf</f>
        <v>641.56970999999999</v>
      </c>
      <c r="D81" s="8" t="s">
        <v>161</v>
      </c>
      <c r="E81" s="9" t="s">
        <v>173</v>
      </c>
    </row>
    <row r="82" spans="1:16" s="8" customFormat="1" x14ac:dyDescent="0.2">
      <c r="A82" s="8" t="s">
        <v>172</v>
      </c>
      <c r="B82" s="8" t="s">
        <v>171</v>
      </c>
      <c r="C82" s="10">
        <f>br*rar</f>
        <v>397.25599999999997</v>
      </c>
      <c r="D82" s="8" t="s">
        <v>161</v>
      </c>
      <c r="E82" s="9" t="s">
        <v>170</v>
      </c>
    </row>
    <row r="83" spans="1:16" s="8" customFormat="1" x14ac:dyDescent="0.2">
      <c r="A83" s="8" t="s">
        <v>169</v>
      </c>
      <c r="B83" s="8" t="s">
        <v>168</v>
      </c>
      <c r="C83" s="10">
        <f>dnrr+2*hr</f>
        <v>1861.3119999999999</v>
      </c>
      <c r="D83" s="8" t="s">
        <v>161</v>
      </c>
      <c r="E83" s="9" t="s">
        <v>167</v>
      </c>
    </row>
    <row r="84" spans="1:16" s="8" customFormat="1" x14ac:dyDescent="0.2">
      <c r="A84" s="8" t="s">
        <v>166</v>
      </c>
      <c r="B84" s="8" t="s">
        <v>165</v>
      </c>
      <c r="C84" s="10">
        <f>0.19*hr</f>
        <v>75.478639999999999</v>
      </c>
      <c r="D84" s="8" t="s">
        <v>161</v>
      </c>
      <c r="E84" s="9" t="s">
        <v>164</v>
      </c>
    </row>
    <row r="85" spans="1:16" s="8" customFormat="1" x14ac:dyDescent="0.2">
      <c r="A85" s="8" t="s">
        <v>163</v>
      </c>
      <c r="B85" s="8" t="s">
        <v>162</v>
      </c>
      <c r="C85" s="10">
        <f>dr/2-deltar</f>
        <v>855.17735999999991</v>
      </c>
      <c r="D85" s="8" t="s">
        <v>161</v>
      </c>
      <c r="E85" s="9" t="s">
        <v>160</v>
      </c>
    </row>
    <row r="86" spans="1:16" x14ac:dyDescent="0.2">
      <c r="C86" s="3"/>
      <c r="D86" s="2"/>
      <c r="E86" s="2"/>
      <c r="F86" s="2"/>
      <c r="G86" s="2"/>
    </row>
    <row r="87" spans="1:16" ht="15.75" x14ac:dyDescent="0.25">
      <c r="A87" s="38" t="s">
        <v>159</v>
      </c>
      <c r="C87" s="3"/>
      <c r="D87" s="2"/>
      <c r="E87" s="2"/>
      <c r="F87" s="2"/>
      <c r="G87" s="2"/>
    </row>
    <row r="88" spans="1:16" s="11" customFormat="1" x14ac:dyDescent="0.2">
      <c r="A88" s="11" t="s">
        <v>158</v>
      </c>
    </row>
    <row r="89" spans="1:16" s="11" customFormat="1" x14ac:dyDescent="0.2">
      <c r="A89" s="11" t="s">
        <v>157</v>
      </c>
      <c r="B89" s="11" t="s">
        <v>156</v>
      </c>
      <c r="C89" s="11">
        <f>Neng1/(srt*srd*srfd)</f>
        <v>20.850646699345052</v>
      </c>
      <c r="D89" s="11" t="s">
        <v>12</v>
      </c>
      <c r="E89" s="34" t="s">
        <v>155</v>
      </c>
      <c r="F89" s="11" t="s">
        <v>154</v>
      </c>
    </row>
    <row r="90" spans="1:16" s="11" customFormat="1" x14ac:dyDescent="0.2">
      <c r="A90" s="11" t="s">
        <v>153</v>
      </c>
      <c r="B90" s="11" t="s">
        <v>152</v>
      </c>
      <c r="C90" s="29">
        <f>Nrax*(2*PI()*rlr)*60/10^6</f>
        <v>6.7221290092170394</v>
      </c>
      <c r="D90" s="11" t="s">
        <v>143</v>
      </c>
      <c r="E90" s="28" t="s">
        <v>151</v>
      </c>
      <c r="F90" s="11" t="s">
        <v>150</v>
      </c>
      <c r="J90" s="37"/>
      <c r="K90" s="36"/>
      <c r="L90" s="36"/>
      <c r="M90" s="36"/>
      <c r="N90" s="35"/>
      <c r="O90" s="35"/>
      <c r="P90" s="35"/>
    </row>
    <row r="91" spans="1:16" s="11" customFormat="1" x14ac:dyDescent="0.2">
      <c r="A91" s="11" t="s">
        <v>149</v>
      </c>
      <c r="B91" s="11" t="s">
        <v>148</v>
      </c>
      <c r="C91" s="11">
        <f>Nrax/srfr</f>
        <v>28.565385978102722</v>
      </c>
      <c r="D91" s="11" t="s">
        <v>12</v>
      </c>
      <c r="E91" s="34" t="s">
        <v>147</v>
      </c>
      <c r="F91" s="26" t="s">
        <v>146</v>
      </c>
    </row>
    <row r="92" spans="1:16" s="11" customFormat="1" ht="15.75" x14ac:dyDescent="0.25">
      <c r="A92" s="13" t="s">
        <v>145</v>
      </c>
      <c r="B92" s="13" t="s">
        <v>144</v>
      </c>
      <c r="C92" s="14">
        <f>Vt*(1-sl)</f>
        <v>6.1588181491402123</v>
      </c>
      <c r="D92" s="13" t="s">
        <v>143</v>
      </c>
      <c r="E92" s="12" t="s">
        <v>142</v>
      </c>
    </row>
    <row r="93" spans="1:16" s="11" customFormat="1" ht="15.75" x14ac:dyDescent="0.25">
      <c r="A93" s="13" t="s">
        <v>141</v>
      </c>
      <c r="B93" s="13" t="s">
        <v>140</v>
      </c>
      <c r="C93" s="33">
        <f>sdp*(idp1_+idp2_*Va+idp3_*Va^2)*wi*di</f>
        <v>35691.366653853751</v>
      </c>
      <c r="D93" s="13" t="s">
        <v>5</v>
      </c>
      <c r="E93" s="32" t="s">
        <v>139</v>
      </c>
      <c r="F93" s="11" t="s">
        <v>138</v>
      </c>
    </row>
    <row r="94" spans="1:16" s="11" customFormat="1" x14ac:dyDescent="0.2">
      <c r="A94" s="11" t="s">
        <v>137</v>
      </c>
      <c r="B94" s="11" t="s">
        <v>136</v>
      </c>
      <c r="C94" s="26">
        <f>pulle*TAN(RADIANS(theta))</f>
        <v>3122.5899679593963</v>
      </c>
      <c r="D94" s="11" t="s">
        <v>5</v>
      </c>
      <c r="E94" s="28" t="s">
        <v>135</v>
      </c>
    </row>
    <row r="95" spans="1:16" s="11" customFormat="1" x14ac:dyDescent="0.2">
      <c r="A95" s="11" t="s">
        <v>134</v>
      </c>
      <c r="B95" s="11" t="s">
        <v>133</v>
      </c>
      <c r="C95" s="26">
        <f>( ( (rfo+rro)*Xcg -pulle*Ydb-pullv*Xdb ) / wb ) /(2*CFA)</f>
        <v>17212.353392408113</v>
      </c>
      <c r="D95" s="11" t="s">
        <v>88</v>
      </c>
      <c r="E95" s="27" t="s">
        <v>132</v>
      </c>
    </row>
    <row r="96" spans="1:16" s="11" customFormat="1" x14ac:dyDescent="0.2">
      <c r="A96" s="11" t="s">
        <v>131</v>
      </c>
      <c r="B96" s="11" t="s">
        <v>130</v>
      </c>
      <c r="C96" s="31">
        <f>(cif*bf*df/rf) * ( (1+tk_1*deltaf/hf)/(1+tk_2*bf/df) )</f>
        <v>29.997263632368753</v>
      </c>
      <c r="D96" s="11" t="s">
        <v>92</v>
      </c>
      <c r="E96" s="30" t="s">
        <v>129</v>
      </c>
    </row>
    <row r="97" spans="1:5" s="11" customFormat="1" x14ac:dyDescent="0.2">
      <c r="A97" s="11" t="s">
        <v>128</v>
      </c>
      <c r="B97" s="11" t="s">
        <v>127</v>
      </c>
      <c r="C97" s="29">
        <f>IF(CDT=1,0,sl)</f>
        <v>8.379947176027773E-2</v>
      </c>
      <c r="D97" s="11" t="s">
        <v>30</v>
      </c>
      <c r="E97" s="28" t="s">
        <v>126</v>
      </c>
    </row>
    <row r="98" spans="1:5" s="11" customFormat="1" x14ac:dyDescent="0.2">
      <c r="A98" s="11" t="s">
        <v>125</v>
      </c>
      <c r="B98" s="11" t="s">
        <v>124</v>
      </c>
      <c r="C98" s="29">
        <f>IF(CDT=1,0,tc_1*(1-EXP(-tc_2*bnf))*(1-EXP(-tc_3*slf))+tc_4)</f>
        <v>0.38509307889542799</v>
      </c>
      <c r="D98" s="11" t="s">
        <v>92</v>
      </c>
      <c r="E98" s="28" t="s">
        <v>123</v>
      </c>
    </row>
    <row r="99" spans="1:5" s="11" customFormat="1" x14ac:dyDescent="0.2">
      <c r="A99" s="11" t="s">
        <v>122</v>
      </c>
      <c r="B99" s="11" t="s">
        <v>121</v>
      </c>
      <c r="C99" s="29">
        <f>tc_5/bnf+tc_4+tc_6*slf*bnf^(-0.5)</f>
        <v>7.765380789009621E-2</v>
      </c>
      <c r="D99" s="11" t="s">
        <v>92</v>
      </c>
      <c r="E99" s="28" t="s">
        <v>120</v>
      </c>
    </row>
    <row r="100" spans="1:5" s="11" customFormat="1" x14ac:dyDescent="0.2">
      <c r="A100" s="11" t="s">
        <v>119</v>
      </c>
      <c r="B100" s="11" t="s">
        <v>118</v>
      </c>
      <c r="C100" s="29">
        <f>mugf-rhof</f>
        <v>0.30743927100533175</v>
      </c>
      <c r="D100" s="11" t="s">
        <v>92</v>
      </c>
      <c r="E100" s="28" t="s">
        <v>117</v>
      </c>
    </row>
    <row r="101" spans="1:5" s="11" customFormat="1" x14ac:dyDescent="0.2">
      <c r="A101" s="11" t="s">
        <v>116</v>
      </c>
      <c r="B101" s="11" t="s">
        <v>115</v>
      </c>
      <c r="C101" s="26">
        <f>munf*rf</f>
        <v>5291.753379248099</v>
      </c>
      <c r="D101" s="11" t="s">
        <v>88</v>
      </c>
      <c r="E101" s="27" t="s">
        <v>114</v>
      </c>
    </row>
    <row r="102" spans="1:5" s="11" customFormat="1" x14ac:dyDescent="0.2">
      <c r="A102" s="11" t="s">
        <v>113</v>
      </c>
      <c r="B102" s="11" t="s">
        <v>112</v>
      </c>
      <c r="C102" s="29">
        <f>IF(CDT=1,0,(1-slf)*munf/mugf)</f>
        <v>0.73144919484052628</v>
      </c>
      <c r="D102" s="11" t="s">
        <v>30</v>
      </c>
      <c r="E102" s="28" t="s">
        <v>111</v>
      </c>
    </row>
    <row r="103" spans="1:5" s="11" customFormat="1" x14ac:dyDescent="0.2">
      <c r="A103" s="11" t="s">
        <v>110</v>
      </c>
      <c r="B103" s="11" t="s">
        <v>109</v>
      </c>
      <c r="C103" s="29">
        <f>cif*(1+1.8*EXP(-0.11*bnf))</f>
        <v>0.95976871889337112</v>
      </c>
      <c r="D103" s="11" t="s">
        <v>108</v>
      </c>
      <c r="E103" s="28" t="s">
        <v>107</v>
      </c>
    </row>
    <row r="104" spans="1:5" s="11" customFormat="1" x14ac:dyDescent="0.2">
      <c r="A104" s="11" t="s">
        <v>106</v>
      </c>
      <c r="B104" s="11" t="s">
        <v>105</v>
      </c>
      <c r="C104" s="26">
        <f>(pullv+(rfo+rro)-(rf*2*CFA)) / (2*CRA)</f>
        <v>17620.970795785794</v>
      </c>
      <c r="D104" s="11" t="s">
        <v>88</v>
      </c>
      <c r="E104" s="27" t="s">
        <v>104</v>
      </c>
    </row>
    <row r="105" spans="1:5" s="11" customFormat="1" x14ac:dyDescent="0.2">
      <c r="A105" s="11" t="s">
        <v>103</v>
      </c>
      <c r="B105" s="11" t="s">
        <v>102</v>
      </c>
      <c r="C105" s="31">
        <f>(cir*br*dr/rr) * ( (1+tk_1*deltar/hr)/(1+tk_2*br/dr) )</f>
        <v>52.697743679147706</v>
      </c>
      <c r="D105" s="11" t="s">
        <v>92</v>
      </c>
      <c r="E105" s="30" t="s">
        <v>101</v>
      </c>
    </row>
    <row r="106" spans="1:5" s="11" customFormat="1" x14ac:dyDescent="0.2">
      <c r="A106" s="11" t="s">
        <v>100</v>
      </c>
      <c r="B106" s="11" t="s">
        <v>99</v>
      </c>
      <c r="C106" s="29">
        <f>tc_1*(1-EXP(-tc_2*bnr))*(1-EXP(-tc_3*sl))+tc_4</f>
        <v>0.41476451807176629</v>
      </c>
      <c r="D106" s="11" t="s">
        <v>92</v>
      </c>
      <c r="E106" s="28" t="s">
        <v>98</v>
      </c>
    </row>
    <row r="107" spans="1:5" s="11" customFormat="1" x14ac:dyDescent="0.2">
      <c r="A107" s="11" t="s">
        <v>97</v>
      </c>
      <c r="B107" s="11" t="s">
        <v>96</v>
      </c>
      <c r="C107" s="29">
        <f>tc_5/bnr+tc_4+tc_6*sl*bnr^(-0.5)</f>
        <v>5.8543226601113559E-2</v>
      </c>
      <c r="D107" s="11" t="s">
        <v>92</v>
      </c>
      <c r="E107" s="28" t="s">
        <v>95</v>
      </c>
    </row>
    <row r="108" spans="1:5" s="11" customFormat="1" x14ac:dyDescent="0.2">
      <c r="A108" s="11" t="s">
        <v>94</v>
      </c>
      <c r="B108" s="11" t="s">
        <v>93</v>
      </c>
      <c r="C108" s="29">
        <f>mugr-rhor</f>
        <v>0.35622129147065273</v>
      </c>
      <c r="D108" s="11" t="s">
        <v>92</v>
      </c>
      <c r="E108" s="28" t="s">
        <v>91</v>
      </c>
    </row>
    <row r="109" spans="1:5" s="11" customFormat="1" x14ac:dyDescent="0.2">
      <c r="A109" s="11" t="s">
        <v>90</v>
      </c>
      <c r="B109" s="11" t="s">
        <v>89</v>
      </c>
      <c r="C109" s="26">
        <f>munr*rr</f>
        <v>6276.964973841471</v>
      </c>
      <c r="D109" s="11" t="s">
        <v>88</v>
      </c>
      <c r="E109" s="27" t="s">
        <v>87</v>
      </c>
    </row>
    <row r="110" spans="1:5" s="11" customFormat="1" x14ac:dyDescent="0.2">
      <c r="A110" s="11" t="s">
        <v>86</v>
      </c>
      <c r="B110" s="11" t="s">
        <v>85</v>
      </c>
      <c r="C110" s="29">
        <f>(1-sl)*munr/mugr</f>
        <v>0.78688055799212953</v>
      </c>
      <c r="D110" s="11" t="s">
        <v>30</v>
      </c>
      <c r="E110" s="28" t="s">
        <v>84</v>
      </c>
    </row>
    <row r="111" spans="1:5" s="11" customFormat="1" x14ac:dyDescent="0.2">
      <c r="A111" s="11" t="s">
        <v>83</v>
      </c>
      <c r="B111" s="11" t="s">
        <v>82</v>
      </c>
      <c r="C111" s="26">
        <f>(2*CRA)*pullr+(2*CFA)*pullf</f>
        <v>35691.366653862082</v>
      </c>
      <c r="D111" s="11" t="s">
        <v>5</v>
      </c>
      <c r="E111" s="27" t="s">
        <v>81</v>
      </c>
    </row>
    <row r="112" spans="1:5" s="11" customFormat="1" x14ac:dyDescent="0.2">
      <c r="A112" s="11" t="s">
        <v>80</v>
      </c>
      <c r="B112" s="11" t="s">
        <v>79</v>
      </c>
      <c r="C112" s="26">
        <f>mugr*rr*rlr*(2*CRA)/1000</f>
        <v>25000.437813608718</v>
      </c>
      <c r="D112" s="11" t="s">
        <v>16</v>
      </c>
      <c r="E112" s="27" t="s">
        <v>78</v>
      </c>
    </row>
    <row r="113" spans="1:7" s="11" customFormat="1" x14ac:dyDescent="0.2">
      <c r="A113" s="11" t="s">
        <v>77</v>
      </c>
      <c r="B113" s="11" t="s">
        <v>76</v>
      </c>
      <c r="C113" s="26">
        <f>mugf*rf*rlf*(2*CFA)/1000</f>
        <v>8505.1076487196442</v>
      </c>
      <c r="D113" s="11" t="s">
        <v>16</v>
      </c>
      <c r="E113" s="27" t="s">
        <v>75</v>
      </c>
      <c r="F113" s="26"/>
    </row>
    <row r="114" spans="1:7" x14ac:dyDescent="0.2">
      <c r="A114" s="1" t="s">
        <v>74</v>
      </c>
      <c r="C114" s="7"/>
      <c r="D114" s="2"/>
      <c r="F114" s="7"/>
      <c r="G114" s="2"/>
    </row>
    <row r="115" spans="1:7" s="8" customFormat="1" x14ac:dyDescent="0.2">
      <c r="A115" s="8" t="s">
        <v>73</v>
      </c>
      <c r="B115" s="8" t="s">
        <v>72</v>
      </c>
      <c r="C115" s="10">
        <f>(Trax+Tfax/srfr/efr)/(srt*srd*srfd)/(et*ed*efd)</f>
        <v>460.91769438951349</v>
      </c>
      <c r="D115" s="8" t="s">
        <v>16</v>
      </c>
      <c r="E115" s="9" t="s">
        <v>71</v>
      </c>
      <c r="F115" s="10" t="s">
        <v>70</v>
      </c>
    </row>
    <row r="116" spans="1:7" s="8" customFormat="1" x14ac:dyDescent="0.2">
      <c r="A116" s="8" t="s">
        <v>69</v>
      </c>
      <c r="B116" s="8" t="s">
        <v>68</v>
      </c>
      <c r="C116" s="10">
        <f>(Teng+m*Nls+m*ts*(Nhi-Nls))/m</f>
        <v>2001.6620831370958</v>
      </c>
      <c r="D116" s="8" t="s">
        <v>12</v>
      </c>
      <c r="E116" s="9" t="s">
        <v>67</v>
      </c>
      <c r="F116" s="25" t="s">
        <v>57</v>
      </c>
    </row>
    <row r="117" spans="1:7" s="8" customFormat="1" x14ac:dyDescent="0.2">
      <c r="A117" s="8" t="s">
        <v>66</v>
      </c>
      <c r="B117" s="8" t="s">
        <v>65</v>
      </c>
      <c r="C117" s="10">
        <f>(Teng-j)/i</f>
        <v>2448.2837065422195</v>
      </c>
      <c r="D117" s="8" t="s">
        <v>12</v>
      </c>
      <c r="E117" s="9" t="s">
        <v>64</v>
      </c>
      <c r="F117" s="25" t="s">
        <v>57</v>
      </c>
    </row>
    <row r="118" spans="1:7" s="8" customFormat="1" x14ac:dyDescent="0.2">
      <c r="A118" s="8" t="s">
        <v>63</v>
      </c>
      <c r="B118" s="8" t="s">
        <v>62</v>
      </c>
      <c r="C118" s="10">
        <f>(Teng-h)/g</f>
        <v>-482.95028073959452</v>
      </c>
      <c r="D118" s="8" t="s">
        <v>12</v>
      </c>
      <c r="E118" s="9" t="s">
        <v>61</v>
      </c>
      <c r="F118" s="25" t="s">
        <v>57</v>
      </c>
    </row>
    <row r="119" spans="1:7" s="8" customFormat="1" ht="15.75" x14ac:dyDescent="0.25">
      <c r="A119" s="23" t="s">
        <v>60</v>
      </c>
      <c r="B119" s="23" t="s">
        <v>59</v>
      </c>
      <c r="C119" s="24">
        <f>MAX(MIN(Nmb,Nij),Ngh)</f>
        <v>2001.6620831370958</v>
      </c>
      <c r="D119" s="23" t="s">
        <v>12</v>
      </c>
      <c r="E119" s="22" t="s">
        <v>58</v>
      </c>
      <c r="F119" s="25" t="s">
        <v>57</v>
      </c>
    </row>
    <row r="120" spans="1:7" s="8" customFormat="1" ht="15.75" x14ac:dyDescent="0.25">
      <c r="A120" s="23" t="s">
        <v>56</v>
      </c>
      <c r="B120" s="23" t="s">
        <v>55</v>
      </c>
      <c r="C120" s="24">
        <f>Neng2*Teng/9549</f>
        <v>96.617601037434369</v>
      </c>
      <c r="D120" s="23" t="s">
        <v>34</v>
      </c>
      <c r="E120" s="22" t="s">
        <v>54</v>
      </c>
      <c r="F120" s="10" t="s">
        <v>53</v>
      </c>
    </row>
    <row r="121" spans="1:7" s="8" customFormat="1" x14ac:dyDescent="0.2">
      <c r="A121" s="8" t="s">
        <v>52</v>
      </c>
      <c r="B121" s="8" t="s">
        <v>51</v>
      </c>
      <c r="C121" s="21">
        <f>Peng/Preng</f>
        <v>0.70695805637147102</v>
      </c>
      <c r="D121" s="8" t="s">
        <v>30</v>
      </c>
      <c r="E121" s="20" t="s">
        <v>50</v>
      </c>
      <c r="F121" s="10"/>
    </row>
    <row r="122" spans="1:7" s="8" customFormat="1" x14ac:dyDescent="0.2">
      <c r="A122" s="8" t="s">
        <v>49</v>
      </c>
      <c r="B122" s="8" t="s">
        <v>48</v>
      </c>
      <c r="C122" s="19">
        <f>(1-Neng2/Nr)*100</f>
        <v>4.6827579458525781</v>
      </c>
      <c r="D122" s="8" t="s">
        <v>47</v>
      </c>
      <c r="E122" s="18" t="s">
        <v>46</v>
      </c>
      <c r="F122" s="10"/>
    </row>
    <row r="123" spans="1:7" s="8" customFormat="1" x14ac:dyDescent="0.2">
      <c r="A123" s="8" t="s">
        <v>45</v>
      </c>
      <c r="B123" s="8" t="s">
        <v>44</v>
      </c>
      <c r="C123" s="19">
        <f>(aa*X+bb)*(1-(cc*X*Nred+dd*Nred))*Ppto</f>
        <v>28.359072218620749</v>
      </c>
      <c r="D123" s="8" t="s">
        <v>43</v>
      </c>
      <c r="E123" s="18" t="s">
        <v>42</v>
      </c>
      <c r="F123" s="10" t="s">
        <v>41</v>
      </c>
    </row>
    <row r="124" spans="1:7" s="8" customFormat="1" x14ac:dyDescent="0.2">
      <c r="A124" s="8" t="s">
        <v>40</v>
      </c>
      <c r="B124" s="8" t="s">
        <v>39</v>
      </c>
      <c r="C124" s="21">
        <f>FC/(Peng*Epto)</f>
        <v>0.32613188388628489</v>
      </c>
      <c r="D124" s="8" t="s">
        <v>38</v>
      </c>
      <c r="E124" s="20" t="s">
        <v>37</v>
      </c>
    </row>
    <row r="125" spans="1:7" s="8" customFormat="1" x14ac:dyDescent="0.2">
      <c r="A125" s="8" t="s">
        <v>36</v>
      </c>
      <c r="B125" s="8" t="s">
        <v>35</v>
      </c>
      <c r="C125" s="19">
        <f>(Tfax*Nfax+Trax*Nrax)/9549</f>
        <v>80.032147759083912</v>
      </c>
      <c r="D125" s="8" t="s">
        <v>34</v>
      </c>
      <c r="E125" s="18" t="s">
        <v>33</v>
      </c>
    </row>
    <row r="126" spans="1:7" s="8" customFormat="1" x14ac:dyDescent="0.2">
      <c r="A126" s="8" t="s">
        <v>32</v>
      </c>
      <c r="B126" s="8" t="s">
        <v>31</v>
      </c>
      <c r="C126" s="17">
        <f>(pulle*Va/3600)/Pax</f>
        <v>0.76294562341606875</v>
      </c>
      <c r="D126" s="8" t="s">
        <v>30</v>
      </c>
      <c r="E126" s="16" t="s">
        <v>29</v>
      </c>
    </row>
    <row r="127" spans="1:7" s="2" customFormat="1" x14ac:dyDescent="0.2">
      <c r="A127" s="2" t="s">
        <v>28</v>
      </c>
      <c r="C127" s="3"/>
      <c r="E127" s="15"/>
    </row>
    <row r="128" spans="1:7" s="11" customFormat="1" ht="15.75" x14ac:dyDescent="0.25">
      <c r="A128" s="13" t="s">
        <v>27</v>
      </c>
      <c r="B128" s="13" t="s">
        <v>26</v>
      </c>
      <c r="C128" s="14">
        <f>Va*wi/2*0.85/10</f>
        <v>2.6174977133845903</v>
      </c>
      <c r="D128" s="13" t="s">
        <v>25</v>
      </c>
      <c r="E128" s="12" t="s">
        <v>24</v>
      </c>
    </row>
    <row r="129" spans="1:7" s="11" customFormat="1" ht="15.75" x14ac:dyDescent="0.25">
      <c r="A129" s="13" t="s">
        <v>23</v>
      </c>
      <c r="B129" s="13" t="s">
        <v>22</v>
      </c>
      <c r="C129" s="14">
        <f>FC/AR</f>
        <v>10.834421009656079</v>
      </c>
      <c r="D129" s="13" t="s">
        <v>21</v>
      </c>
      <c r="E129" s="12" t="s">
        <v>20</v>
      </c>
    </row>
    <row r="130" spans="1:7" x14ac:dyDescent="0.2">
      <c r="A130" s="1" t="s">
        <v>19</v>
      </c>
      <c r="C130" s="7"/>
      <c r="D130" s="2"/>
      <c r="E130" s="7"/>
      <c r="F130" s="6"/>
      <c r="G130" s="2"/>
    </row>
    <row r="131" spans="1:7" s="8" customFormat="1" x14ac:dyDescent="0.2">
      <c r="A131" s="8" t="s">
        <v>18</v>
      </c>
      <c r="B131" s="8" t="s">
        <v>17</v>
      </c>
      <c r="C131" s="10">
        <f>IF(Teng&gt;Tmx,1,0)</f>
        <v>0</v>
      </c>
      <c r="D131" s="8" t="s">
        <v>16</v>
      </c>
      <c r="E131" s="9" t="s">
        <v>15</v>
      </c>
      <c r="F131" s="9"/>
    </row>
    <row r="132" spans="1:7" s="8" customFormat="1" x14ac:dyDescent="0.2">
      <c r="A132" s="8" t="s">
        <v>14</v>
      </c>
      <c r="B132" s="8" t="s">
        <v>13</v>
      </c>
      <c r="C132" s="10">
        <f>Neng1-Neng2</f>
        <v>2.9103830456733704E-11</v>
      </c>
      <c r="D132" s="8" t="s">
        <v>12</v>
      </c>
      <c r="E132" s="9" t="s">
        <v>11</v>
      </c>
    </row>
    <row r="133" spans="1:7" s="8" customFormat="1" x14ac:dyDescent="0.2">
      <c r="A133" s="8" t="s">
        <v>10</v>
      </c>
      <c r="B133" s="8" t="s">
        <v>9</v>
      </c>
      <c r="C133" s="10">
        <f>pullt-pulle</f>
        <v>8.3164195530116558E-9</v>
      </c>
      <c r="D133" s="8" t="s">
        <v>5</v>
      </c>
      <c r="E133" s="9" t="s">
        <v>8</v>
      </c>
    </row>
    <row r="134" spans="1:7" s="8" customFormat="1" x14ac:dyDescent="0.2">
      <c r="A134" s="8" t="s">
        <v>7</v>
      </c>
      <c r="B134" s="8" t="s">
        <v>6</v>
      </c>
      <c r="C134" s="10">
        <f>pullt-DRFT</f>
        <v>8.3309714682400227E-9</v>
      </c>
      <c r="D134" s="8" t="s">
        <v>5</v>
      </c>
      <c r="E134" s="9" t="s">
        <v>4</v>
      </c>
    </row>
    <row r="135" spans="1:7" s="8" customFormat="1" x14ac:dyDescent="0.2">
      <c r="A135" s="8" t="s">
        <v>3</v>
      </c>
      <c r="B135" s="8" t="s">
        <v>2</v>
      </c>
      <c r="C135" s="10">
        <f>ABS(erspd)+ABS(erpull)+ABS(erdraft)</f>
        <v>1.6676494851708412E-8</v>
      </c>
      <c r="D135" s="8" t="s">
        <v>1</v>
      </c>
      <c r="E135" s="9" t="s">
        <v>0</v>
      </c>
    </row>
    <row r="136" spans="1:7" x14ac:dyDescent="0.2">
      <c r="C136" s="7"/>
      <c r="D136" s="2"/>
      <c r="E136" s="6"/>
      <c r="F136" s="2"/>
      <c r="G136" s="2"/>
    </row>
    <row r="137" spans="1:7" x14ac:dyDescent="0.2">
      <c r="C137" s="3"/>
      <c r="D137" s="2"/>
      <c r="E137" s="2"/>
      <c r="F137" s="2"/>
      <c r="G137" s="2"/>
    </row>
    <row r="138" spans="1:7" x14ac:dyDescent="0.2">
      <c r="C138" s="5"/>
      <c r="D138" s="2"/>
      <c r="E138" s="2"/>
      <c r="F138" s="2"/>
      <c r="G138" s="2"/>
    </row>
    <row r="139" spans="1:7" x14ac:dyDescent="0.2">
      <c r="C139" s="4"/>
      <c r="D139" s="2"/>
      <c r="E139" s="2"/>
      <c r="F139" s="2"/>
      <c r="G139" s="2"/>
    </row>
    <row r="140" spans="1:7" x14ac:dyDescent="0.2">
      <c r="C140" s="3"/>
      <c r="D140" s="2"/>
      <c r="E140" s="2"/>
      <c r="F140" s="2"/>
      <c r="G140" s="2"/>
    </row>
    <row r="141" spans="1:7" x14ac:dyDescent="0.2">
      <c r="C141" s="3"/>
      <c r="D141" s="2"/>
      <c r="E141" s="2"/>
      <c r="F141" s="2"/>
      <c r="G141" s="2"/>
    </row>
    <row r="142" spans="1:7" x14ac:dyDescent="0.2">
      <c r="C142" s="3"/>
      <c r="D142" s="2"/>
      <c r="E142" s="2"/>
      <c r="F142" s="2"/>
      <c r="G142" s="2"/>
    </row>
    <row r="143" spans="1:7" x14ac:dyDescent="0.2">
      <c r="C143" s="3"/>
      <c r="D143" s="2"/>
      <c r="E143" s="2"/>
      <c r="F143" s="2"/>
      <c r="G143" s="2"/>
    </row>
    <row r="144" spans="1:7" x14ac:dyDescent="0.2">
      <c r="C144" s="3"/>
      <c r="D144" s="2"/>
      <c r="E144" s="2"/>
      <c r="F144" s="2"/>
      <c r="G144" s="2"/>
    </row>
    <row r="145" spans="3:7" x14ac:dyDescent="0.2">
      <c r="C145" s="3"/>
      <c r="D145" s="2"/>
      <c r="E145" s="2"/>
      <c r="F145" s="2"/>
      <c r="G145" s="2"/>
    </row>
    <row r="146" spans="3:7" x14ac:dyDescent="0.2">
      <c r="C146" s="3"/>
      <c r="D146" s="2"/>
      <c r="E146" s="2"/>
      <c r="F146" s="2"/>
      <c r="G146" s="2"/>
    </row>
    <row r="147" spans="3:7" x14ac:dyDescent="0.2">
      <c r="C147" s="3"/>
      <c r="D147" s="2"/>
      <c r="E147" s="2"/>
      <c r="F147" s="2"/>
      <c r="G147" s="2"/>
    </row>
    <row r="148" spans="3:7" x14ac:dyDescent="0.2">
      <c r="C148" s="3"/>
      <c r="D148" s="2"/>
      <c r="E148" s="2"/>
      <c r="F148" s="2"/>
      <c r="G148" s="2"/>
    </row>
    <row r="149" spans="3:7" x14ac:dyDescent="0.2">
      <c r="C149" s="3"/>
      <c r="D149" s="2"/>
      <c r="E149" s="2"/>
      <c r="F149" s="2"/>
      <c r="G149" s="2"/>
    </row>
    <row r="150" spans="3:7" x14ac:dyDescent="0.2">
      <c r="C150" s="3"/>
      <c r="D150" s="2"/>
      <c r="E150" s="2"/>
      <c r="F150" s="2"/>
      <c r="G150" s="2"/>
    </row>
    <row r="151" spans="3:7" x14ac:dyDescent="0.2">
      <c r="C151" s="2"/>
      <c r="D151" s="2"/>
      <c r="E151" s="2"/>
      <c r="F151" s="2"/>
      <c r="G151" s="2"/>
    </row>
    <row r="152" spans="3:7" x14ac:dyDescent="0.2">
      <c r="C152" s="2"/>
      <c r="D152" s="2"/>
      <c r="E152" s="2"/>
      <c r="F152" s="2"/>
      <c r="G152" s="2"/>
    </row>
  </sheetData>
  <hyperlinks>
    <hyperlink ref="J13" r:id="rId1" xr:uid="{0BBB9F21-613F-4579-B12B-7AFED9A821CB}"/>
  </hyperlinks>
  <printOptions horizontalCentered="1" gridLines="1"/>
  <pageMargins left="0.5" right="0.5" top="0.5" bottom="0.5" header="0.3" footer="0.3"/>
  <pageSetup scale="77" fitToHeight="3" orientation="landscape" horizontalDpi="1200" verticalDpi="1200" r:id="rId2"/>
  <headerFooter>
    <oddHeader>&amp;F</oddHeader>
  </headerFooter>
  <rowBreaks count="2" manualBreakCount="2">
    <brk id="44" max="4" man="1"/>
    <brk id="86" max="4" man="1"/>
  </rowBreaks>
  <cellWatches>
    <cellWatch r="C126"/>
    <cellWatch r="C124"/>
  </cellWatches>
  <drawing r:id="rId3"/>
  <legacyDrawing r:id="rId4"/>
  <oleObjects>
    <mc:AlternateContent xmlns:mc="http://schemas.openxmlformats.org/markup-compatibility/2006">
      <mc:Choice Requires="x14">
        <oleObject progId="Acrobat Document" shapeId="2056" r:id="rId5">
          <objectPr defaultSize="0" autoPict="0" r:id="rId6">
            <anchor moveWithCells="1">
              <from>
                <xdr:col>5</xdr:col>
                <xdr:colOff>85725</xdr:colOff>
                <xdr:row>10</xdr:row>
                <xdr:rowOff>57150</xdr:rowOff>
              </from>
              <to>
                <xdr:col>8</xdr:col>
                <xdr:colOff>981075</xdr:colOff>
                <xdr:row>29</xdr:row>
                <xdr:rowOff>38100</xdr:rowOff>
              </to>
            </anchor>
          </objectPr>
        </oleObject>
      </mc:Choice>
      <mc:Fallback>
        <oleObject progId="Acrobat Document" shapeId="2056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7" name="Drop Down 2">
              <controlPr defaultSize="0" autoLine="0" autoPict="0">
                <anchor moveWithCells="1">
                  <from>
                    <xdr:col>2</xdr:col>
                    <xdr:colOff>19050</xdr:colOff>
                    <xdr:row>2</xdr:row>
                    <xdr:rowOff>19050</xdr:rowOff>
                  </from>
                  <to>
                    <xdr:col>4</xdr:col>
                    <xdr:colOff>19050</xdr:colOff>
                    <xdr:row>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8" name="Drop Down 3">
              <controlPr defaultSize="0" autoLine="0" autoPict="0">
                <anchor moveWithCells="1">
                  <from>
                    <xdr:col>2</xdr:col>
                    <xdr:colOff>19050</xdr:colOff>
                    <xdr:row>3</xdr:row>
                    <xdr:rowOff>38100</xdr:rowOff>
                  </from>
                  <to>
                    <xdr:col>4</xdr:col>
                    <xdr:colOff>9525</xdr:colOff>
                    <xdr:row>3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9" name="List Box 4">
              <controlPr defaultSize="0" autoLine="0" autoPict="0">
                <anchor moveWithCells="1">
                  <from>
                    <xdr:col>1</xdr:col>
                    <xdr:colOff>3467100</xdr:colOff>
                    <xdr:row>1</xdr:row>
                    <xdr:rowOff>142875</xdr:rowOff>
                  </from>
                  <to>
                    <xdr:col>3</xdr:col>
                    <xdr:colOff>866775</xdr:colOff>
                    <xdr:row>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10" name="List Box 5">
              <controlPr defaultSize="0" autoLine="0" autoPict="0">
                <anchor moveWithCells="1">
                  <from>
                    <xdr:col>1</xdr:col>
                    <xdr:colOff>3467100</xdr:colOff>
                    <xdr:row>3</xdr:row>
                    <xdr:rowOff>0</xdr:rowOff>
                  </from>
                  <to>
                    <xdr:col>3</xdr:col>
                    <xdr:colOff>876300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11" name="List Box 6">
              <controlPr defaultSize="0" autoLine="0" autoPict="0">
                <anchor moveWithCells="1">
                  <from>
                    <xdr:col>1</xdr:col>
                    <xdr:colOff>3467100</xdr:colOff>
                    <xdr:row>4</xdr:row>
                    <xdr:rowOff>9525</xdr:rowOff>
                  </from>
                  <to>
                    <xdr:col>3</xdr:col>
                    <xdr:colOff>876300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2" name="List Box 7">
              <controlPr defaultSize="0" autoLine="0" autoPict="0">
                <anchor moveWithCells="1">
                  <from>
                    <xdr:col>2</xdr:col>
                    <xdr:colOff>0</xdr:colOff>
                    <xdr:row>5</xdr:row>
                    <xdr:rowOff>19050</xdr:rowOff>
                  </from>
                  <to>
                    <xdr:col>4</xdr:col>
                    <xdr:colOff>9525</xdr:colOff>
                    <xdr:row>5</xdr:row>
                    <xdr:rowOff>390525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BEFBA-31B8-4811-B7D5-04D33062C79D}">
  <sheetPr>
    <pageSetUpPr fitToPage="1"/>
  </sheetPr>
  <dimension ref="A1:AQ119"/>
  <sheetViews>
    <sheetView zoomScaleNormal="80" workbookViewId="0">
      <selection activeCell="L5" sqref="L5"/>
    </sheetView>
  </sheetViews>
  <sheetFormatPr defaultRowHeight="12.75" x14ac:dyDescent="0.2"/>
  <cols>
    <col min="1" max="1" width="9.85546875" style="109" customWidth="1"/>
    <col min="2" max="2" width="43" style="109" customWidth="1"/>
    <col min="3" max="3" width="8.28515625" style="109" customWidth="1"/>
    <col min="4" max="4" width="20.140625" style="109" bestFit="1" customWidth="1"/>
    <col min="5" max="5" width="29.42578125" style="210" customWidth="1"/>
    <col min="6" max="256" width="9.140625" style="109"/>
    <col min="257" max="257" width="9.85546875" style="109" customWidth="1"/>
    <col min="258" max="258" width="43" style="109" customWidth="1"/>
    <col min="259" max="259" width="8.28515625" style="109" customWidth="1"/>
    <col min="260" max="260" width="20.140625" style="109" bestFit="1" customWidth="1"/>
    <col min="261" max="261" width="29.42578125" style="109" customWidth="1"/>
    <col min="262" max="512" width="9.140625" style="109"/>
    <col min="513" max="513" width="9.85546875" style="109" customWidth="1"/>
    <col min="514" max="514" width="43" style="109" customWidth="1"/>
    <col min="515" max="515" width="8.28515625" style="109" customWidth="1"/>
    <col min="516" max="516" width="20.140625" style="109" bestFit="1" customWidth="1"/>
    <col min="517" max="517" width="29.42578125" style="109" customWidth="1"/>
    <col min="518" max="768" width="9.140625" style="109"/>
    <col min="769" max="769" width="9.85546875" style="109" customWidth="1"/>
    <col min="770" max="770" width="43" style="109" customWidth="1"/>
    <col min="771" max="771" width="8.28515625" style="109" customWidth="1"/>
    <col min="772" max="772" width="20.140625" style="109" bestFit="1" customWidth="1"/>
    <col min="773" max="773" width="29.42578125" style="109" customWidth="1"/>
    <col min="774" max="1024" width="9.140625" style="109"/>
    <col min="1025" max="1025" width="9.85546875" style="109" customWidth="1"/>
    <col min="1026" max="1026" width="43" style="109" customWidth="1"/>
    <col min="1027" max="1027" width="8.28515625" style="109" customWidth="1"/>
    <col min="1028" max="1028" width="20.140625" style="109" bestFit="1" customWidth="1"/>
    <col min="1029" max="1029" width="29.42578125" style="109" customWidth="1"/>
    <col min="1030" max="1280" width="9.140625" style="109"/>
    <col min="1281" max="1281" width="9.85546875" style="109" customWidth="1"/>
    <col min="1282" max="1282" width="43" style="109" customWidth="1"/>
    <col min="1283" max="1283" width="8.28515625" style="109" customWidth="1"/>
    <col min="1284" max="1284" width="20.140625" style="109" bestFit="1" customWidth="1"/>
    <col min="1285" max="1285" width="29.42578125" style="109" customWidth="1"/>
    <col min="1286" max="1536" width="9.140625" style="109"/>
    <col min="1537" max="1537" width="9.85546875" style="109" customWidth="1"/>
    <col min="1538" max="1538" width="43" style="109" customWidth="1"/>
    <col min="1539" max="1539" width="8.28515625" style="109" customWidth="1"/>
    <col min="1540" max="1540" width="20.140625" style="109" bestFit="1" customWidth="1"/>
    <col min="1541" max="1541" width="29.42578125" style="109" customWidth="1"/>
    <col min="1542" max="1792" width="9.140625" style="109"/>
    <col min="1793" max="1793" width="9.85546875" style="109" customWidth="1"/>
    <col min="1794" max="1794" width="43" style="109" customWidth="1"/>
    <col min="1795" max="1795" width="8.28515625" style="109" customWidth="1"/>
    <col min="1796" max="1796" width="20.140625" style="109" bestFit="1" customWidth="1"/>
    <col min="1797" max="1797" width="29.42578125" style="109" customWidth="1"/>
    <col min="1798" max="2048" width="9.140625" style="109"/>
    <col min="2049" max="2049" width="9.85546875" style="109" customWidth="1"/>
    <col min="2050" max="2050" width="43" style="109" customWidth="1"/>
    <col min="2051" max="2051" width="8.28515625" style="109" customWidth="1"/>
    <col min="2052" max="2052" width="20.140625" style="109" bestFit="1" customWidth="1"/>
    <col min="2053" max="2053" width="29.42578125" style="109" customWidth="1"/>
    <col min="2054" max="2304" width="9.140625" style="109"/>
    <col min="2305" max="2305" width="9.85546875" style="109" customWidth="1"/>
    <col min="2306" max="2306" width="43" style="109" customWidth="1"/>
    <col min="2307" max="2307" width="8.28515625" style="109" customWidth="1"/>
    <col min="2308" max="2308" width="20.140625" style="109" bestFit="1" customWidth="1"/>
    <col min="2309" max="2309" width="29.42578125" style="109" customWidth="1"/>
    <col min="2310" max="2560" width="9.140625" style="109"/>
    <col min="2561" max="2561" width="9.85546875" style="109" customWidth="1"/>
    <col min="2562" max="2562" width="43" style="109" customWidth="1"/>
    <col min="2563" max="2563" width="8.28515625" style="109" customWidth="1"/>
    <col min="2564" max="2564" width="20.140625" style="109" bestFit="1" customWidth="1"/>
    <col min="2565" max="2565" width="29.42578125" style="109" customWidth="1"/>
    <col min="2566" max="2816" width="9.140625" style="109"/>
    <col min="2817" max="2817" width="9.85546875" style="109" customWidth="1"/>
    <col min="2818" max="2818" width="43" style="109" customWidth="1"/>
    <col min="2819" max="2819" width="8.28515625" style="109" customWidth="1"/>
    <col min="2820" max="2820" width="20.140625" style="109" bestFit="1" customWidth="1"/>
    <col min="2821" max="2821" width="29.42578125" style="109" customWidth="1"/>
    <col min="2822" max="3072" width="9.140625" style="109"/>
    <col min="3073" max="3073" width="9.85546875" style="109" customWidth="1"/>
    <col min="3074" max="3074" width="43" style="109" customWidth="1"/>
    <col min="3075" max="3075" width="8.28515625" style="109" customWidth="1"/>
    <col min="3076" max="3076" width="20.140625" style="109" bestFit="1" customWidth="1"/>
    <col min="3077" max="3077" width="29.42578125" style="109" customWidth="1"/>
    <col min="3078" max="3328" width="9.140625" style="109"/>
    <col min="3329" max="3329" width="9.85546875" style="109" customWidth="1"/>
    <col min="3330" max="3330" width="43" style="109" customWidth="1"/>
    <col min="3331" max="3331" width="8.28515625" style="109" customWidth="1"/>
    <col min="3332" max="3332" width="20.140625" style="109" bestFit="1" customWidth="1"/>
    <col min="3333" max="3333" width="29.42578125" style="109" customWidth="1"/>
    <col min="3334" max="3584" width="9.140625" style="109"/>
    <col min="3585" max="3585" width="9.85546875" style="109" customWidth="1"/>
    <col min="3586" max="3586" width="43" style="109" customWidth="1"/>
    <col min="3587" max="3587" width="8.28515625" style="109" customWidth="1"/>
    <col min="3588" max="3588" width="20.140625" style="109" bestFit="1" customWidth="1"/>
    <col min="3589" max="3589" width="29.42578125" style="109" customWidth="1"/>
    <col min="3590" max="3840" width="9.140625" style="109"/>
    <col min="3841" max="3841" width="9.85546875" style="109" customWidth="1"/>
    <col min="3842" max="3842" width="43" style="109" customWidth="1"/>
    <col min="3843" max="3843" width="8.28515625" style="109" customWidth="1"/>
    <col min="3844" max="3844" width="20.140625" style="109" bestFit="1" customWidth="1"/>
    <col min="3845" max="3845" width="29.42578125" style="109" customWidth="1"/>
    <col min="3846" max="4096" width="9.140625" style="109"/>
    <col min="4097" max="4097" width="9.85546875" style="109" customWidth="1"/>
    <col min="4098" max="4098" width="43" style="109" customWidth="1"/>
    <col min="4099" max="4099" width="8.28515625" style="109" customWidth="1"/>
    <col min="4100" max="4100" width="20.140625" style="109" bestFit="1" customWidth="1"/>
    <col min="4101" max="4101" width="29.42578125" style="109" customWidth="1"/>
    <col min="4102" max="4352" width="9.140625" style="109"/>
    <col min="4353" max="4353" width="9.85546875" style="109" customWidth="1"/>
    <col min="4354" max="4354" width="43" style="109" customWidth="1"/>
    <col min="4355" max="4355" width="8.28515625" style="109" customWidth="1"/>
    <col min="4356" max="4356" width="20.140625" style="109" bestFit="1" customWidth="1"/>
    <col min="4357" max="4357" width="29.42578125" style="109" customWidth="1"/>
    <col min="4358" max="4608" width="9.140625" style="109"/>
    <col min="4609" max="4609" width="9.85546875" style="109" customWidth="1"/>
    <col min="4610" max="4610" width="43" style="109" customWidth="1"/>
    <col min="4611" max="4611" width="8.28515625" style="109" customWidth="1"/>
    <col min="4612" max="4612" width="20.140625" style="109" bestFit="1" customWidth="1"/>
    <col min="4613" max="4613" width="29.42578125" style="109" customWidth="1"/>
    <col min="4614" max="4864" width="9.140625" style="109"/>
    <col min="4865" max="4865" width="9.85546875" style="109" customWidth="1"/>
    <col min="4866" max="4866" width="43" style="109" customWidth="1"/>
    <col min="4867" max="4867" width="8.28515625" style="109" customWidth="1"/>
    <col min="4868" max="4868" width="20.140625" style="109" bestFit="1" customWidth="1"/>
    <col min="4869" max="4869" width="29.42578125" style="109" customWidth="1"/>
    <col min="4870" max="5120" width="9.140625" style="109"/>
    <col min="5121" max="5121" width="9.85546875" style="109" customWidth="1"/>
    <col min="5122" max="5122" width="43" style="109" customWidth="1"/>
    <col min="5123" max="5123" width="8.28515625" style="109" customWidth="1"/>
    <col min="5124" max="5124" width="20.140625" style="109" bestFit="1" customWidth="1"/>
    <col min="5125" max="5125" width="29.42578125" style="109" customWidth="1"/>
    <col min="5126" max="5376" width="9.140625" style="109"/>
    <col min="5377" max="5377" width="9.85546875" style="109" customWidth="1"/>
    <col min="5378" max="5378" width="43" style="109" customWidth="1"/>
    <col min="5379" max="5379" width="8.28515625" style="109" customWidth="1"/>
    <col min="5380" max="5380" width="20.140625" style="109" bestFit="1" customWidth="1"/>
    <col min="5381" max="5381" width="29.42578125" style="109" customWidth="1"/>
    <col min="5382" max="5632" width="9.140625" style="109"/>
    <col min="5633" max="5633" width="9.85546875" style="109" customWidth="1"/>
    <col min="5634" max="5634" width="43" style="109" customWidth="1"/>
    <col min="5635" max="5635" width="8.28515625" style="109" customWidth="1"/>
    <col min="5636" max="5636" width="20.140625" style="109" bestFit="1" customWidth="1"/>
    <col min="5637" max="5637" width="29.42578125" style="109" customWidth="1"/>
    <col min="5638" max="5888" width="9.140625" style="109"/>
    <col min="5889" max="5889" width="9.85546875" style="109" customWidth="1"/>
    <col min="5890" max="5890" width="43" style="109" customWidth="1"/>
    <col min="5891" max="5891" width="8.28515625" style="109" customWidth="1"/>
    <col min="5892" max="5892" width="20.140625" style="109" bestFit="1" customWidth="1"/>
    <col min="5893" max="5893" width="29.42578125" style="109" customWidth="1"/>
    <col min="5894" max="6144" width="9.140625" style="109"/>
    <col min="6145" max="6145" width="9.85546875" style="109" customWidth="1"/>
    <col min="6146" max="6146" width="43" style="109" customWidth="1"/>
    <col min="6147" max="6147" width="8.28515625" style="109" customWidth="1"/>
    <col min="6148" max="6148" width="20.140625" style="109" bestFit="1" customWidth="1"/>
    <col min="6149" max="6149" width="29.42578125" style="109" customWidth="1"/>
    <col min="6150" max="6400" width="9.140625" style="109"/>
    <col min="6401" max="6401" width="9.85546875" style="109" customWidth="1"/>
    <col min="6402" max="6402" width="43" style="109" customWidth="1"/>
    <col min="6403" max="6403" width="8.28515625" style="109" customWidth="1"/>
    <col min="6404" max="6404" width="20.140625" style="109" bestFit="1" customWidth="1"/>
    <col min="6405" max="6405" width="29.42578125" style="109" customWidth="1"/>
    <col min="6406" max="6656" width="9.140625" style="109"/>
    <col min="6657" max="6657" width="9.85546875" style="109" customWidth="1"/>
    <col min="6658" max="6658" width="43" style="109" customWidth="1"/>
    <col min="6659" max="6659" width="8.28515625" style="109" customWidth="1"/>
    <col min="6660" max="6660" width="20.140625" style="109" bestFit="1" customWidth="1"/>
    <col min="6661" max="6661" width="29.42578125" style="109" customWidth="1"/>
    <col min="6662" max="6912" width="9.140625" style="109"/>
    <col min="6913" max="6913" width="9.85546875" style="109" customWidth="1"/>
    <col min="6914" max="6914" width="43" style="109" customWidth="1"/>
    <col min="6915" max="6915" width="8.28515625" style="109" customWidth="1"/>
    <col min="6916" max="6916" width="20.140625" style="109" bestFit="1" customWidth="1"/>
    <col min="6917" max="6917" width="29.42578125" style="109" customWidth="1"/>
    <col min="6918" max="7168" width="9.140625" style="109"/>
    <col min="7169" max="7169" width="9.85546875" style="109" customWidth="1"/>
    <col min="7170" max="7170" width="43" style="109" customWidth="1"/>
    <col min="7171" max="7171" width="8.28515625" style="109" customWidth="1"/>
    <col min="7172" max="7172" width="20.140625" style="109" bestFit="1" customWidth="1"/>
    <col min="7173" max="7173" width="29.42578125" style="109" customWidth="1"/>
    <col min="7174" max="7424" width="9.140625" style="109"/>
    <col min="7425" max="7425" width="9.85546875" style="109" customWidth="1"/>
    <col min="7426" max="7426" width="43" style="109" customWidth="1"/>
    <col min="7427" max="7427" width="8.28515625" style="109" customWidth="1"/>
    <col min="7428" max="7428" width="20.140625" style="109" bestFit="1" customWidth="1"/>
    <col min="7429" max="7429" width="29.42578125" style="109" customWidth="1"/>
    <col min="7430" max="7680" width="9.140625" style="109"/>
    <col min="7681" max="7681" width="9.85546875" style="109" customWidth="1"/>
    <col min="7682" max="7682" width="43" style="109" customWidth="1"/>
    <col min="7683" max="7683" width="8.28515625" style="109" customWidth="1"/>
    <col min="7684" max="7684" width="20.140625" style="109" bestFit="1" customWidth="1"/>
    <col min="7685" max="7685" width="29.42578125" style="109" customWidth="1"/>
    <col min="7686" max="7936" width="9.140625" style="109"/>
    <col min="7937" max="7937" width="9.85546875" style="109" customWidth="1"/>
    <col min="7938" max="7938" width="43" style="109" customWidth="1"/>
    <col min="7939" max="7939" width="8.28515625" style="109" customWidth="1"/>
    <col min="7940" max="7940" width="20.140625" style="109" bestFit="1" customWidth="1"/>
    <col min="7941" max="7941" width="29.42578125" style="109" customWidth="1"/>
    <col min="7942" max="8192" width="9.140625" style="109"/>
    <col min="8193" max="8193" width="9.85546875" style="109" customWidth="1"/>
    <col min="8194" max="8194" width="43" style="109" customWidth="1"/>
    <col min="8195" max="8195" width="8.28515625" style="109" customWidth="1"/>
    <col min="8196" max="8196" width="20.140625" style="109" bestFit="1" customWidth="1"/>
    <col min="8197" max="8197" width="29.42578125" style="109" customWidth="1"/>
    <col min="8198" max="8448" width="9.140625" style="109"/>
    <col min="8449" max="8449" width="9.85546875" style="109" customWidth="1"/>
    <col min="8450" max="8450" width="43" style="109" customWidth="1"/>
    <col min="8451" max="8451" width="8.28515625" style="109" customWidth="1"/>
    <col min="8452" max="8452" width="20.140625" style="109" bestFit="1" customWidth="1"/>
    <col min="8453" max="8453" width="29.42578125" style="109" customWidth="1"/>
    <col min="8454" max="8704" width="9.140625" style="109"/>
    <col min="8705" max="8705" width="9.85546875" style="109" customWidth="1"/>
    <col min="8706" max="8706" width="43" style="109" customWidth="1"/>
    <col min="8707" max="8707" width="8.28515625" style="109" customWidth="1"/>
    <col min="8708" max="8708" width="20.140625" style="109" bestFit="1" customWidth="1"/>
    <col min="8709" max="8709" width="29.42578125" style="109" customWidth="1"/>
    <col min="8710" max="8960" width="9.140625" style="109"/>
    <col min="8961" max="8961" width="9.85546875" style="109" customWidth="1"/>
    <col min="8962" max="8962" width="43" style="109" customWidth="1"/>
    <col min="8963" max="8963" width="8.28515625" style="109" customWidth="1"/>
    <col min="8964" max="8964" width="20.140625" style="109" bestFit="1" customWidth="1"/>
    <col min="8965" max="8965" width="29.42578125" style="109" customWidth="1"/>
    <col min="8966" max="9216" width="9.140625" style="109"/>
    <col min="9217" max="9217" width="9.85546875" style="109" customWidth="1"/>
    <col min="9218" max="9218" width="43" style="109" customWidth="1"/>
    <col min="9219" max="9219" width="8.28515625" style="109" customWidth="1"/>
    <col min="9220" max="9220" width="20.140625" style="109" bestFit="1" customWidth="1"/>
    <col min="9221" max="9221" width="29.42578125" style="109" customWidth="1"/>
    <col min="9222" max="9472" width="9.140625" style="109"/>
    <col min="9473" max="9473" width="9.85546875" style="109" customWidth="1"/>
    <col min="9474" max="9474" width="43" style="109" customWidth="1"/>
    <col min="9475" max="9475" width="8.28515625" style="109" customWidth="1"/>
    <col min="9476" max="9476" width="20.140625" style="109" bestFit="1" customWidth="1"/>
    <col min="9477" max="9477" width="29.42578125" style="109" customWidth="1"/>
    <col min="9478" max="9728" width="9.140625" style="109"/>
    <col min="9729" max="9729" width="9.85546875" style="109" customWidth="1"/>
    <col min="9730" max="9730" width="43" style="109" customWidth="1"/>
    <col min="9731" max="9731" width="8.28515625" style="109" customWidth="1"/>
    <col min="9732" max="9732" width="20.140625" style="109" bestFit="1" customWidth="1"/>
    <col min="9733" max="9733" width="29.42578125" style="109" customWidth="1"/>
    <col min="9734" max="9984" width="9.140625" style="109"/>
    <col min="9985" max="9985" width="9.85546875" style="109" customWidth="1"/>
    <col min="9986" max="9986" width="43" style="109" customWidth="1"/>
    <col min="9987" max="9987" width="8.28515625" style="109" customWidth="1"/>
    <col min="9988" max="9988" width="20.140625" style="109" bestFit="1" customWidth="1"/>
    <col min="9989" max="9989" width="29.42578125" style="109" customWidth="1"/>
    <col min="9990" max="10240" width="9.140625" style="109"/>
    <col min="10241" max="10241" width="9.85546875" style="109" customWidth="1"/>
    <col min="10242" max="10242" width="43" style="109" customWidth="1"/>
    <col min="10243" max="10243" width="8.28515625" style="109" customWidth="1"/>
    <col min="10244" max="10244" width="20.140625" style="109" bestFit="1" customWidth="1"/>
    <col min="10245" max="10245" width="29.42578125" style="109" customWidth="1"/>
    <col min="10246" max="10496" width="9.140625" style="109"/>
    <col min="10497" max="10497" width="9.85546875" style="109" customWidth="1"/>
    <col min="10498" max="10498" width="43" style="109" customWidth="1"/>
    <col min="10499" max="10499" width="8.28515625" style="109" customWidth="1"/>
    <col min="10500" max="10500" width="20.140625" style="109" bestFit="1" customWidth="1"/>
    <col min="10501" max="10501" width="29.42578125" style="109" customWidth="1"/>
    <col min="10502" max="10752" width="9.140625" style="109"/>
    <col min="10753" max="10753" width="9.85546875" style="109" customWidth="1"/>
    <col min="10754" max="10754" width="43" style="109" customWidth="1"/>
    <col min="10755" max="10755" width="8.28515625" style="109" customWidth="1"/>
    <col min="10756" max="10756" width="20.140625" style="109" bestFit="1" customWidth="1"/>
    <col min="10757" max="10757" width="29.42578125" style="109" customWidth="1"/>
    <col min="10758" max="11008" width="9.140625" style="109"/>
    <col min="11009" max="11009" width="9.85546875" style="109" customWidth="1"/>
    <col min="11010" max="11010" width="43" style="109" customWidth="1"/>
    <col min="11011" max="11011" width="8.28515625" style="109" customWidth="1"/>
    <col min="11012" max="11012" width="20.140625" style="109" bestFit="1" customWidth="1"/>
    <col min="11013" max="11013" width="29.42578125" style="109" customWidth="1"/>
    <col min="11014" max="11264" width="9.140625" style="109"/>
    <col min="11265" max="11265" width="9.85546875" style="109" customWidth="1"/>
    <col min="11266" max="11266" width="43" style="109" customWidth="1"/>
    <col min="11267" max="11267" width="8.28515625" style="109" customWidth="1"/>
    <col min="11268" max="11268" width="20.140625" style="109" bestFit="1" customWidth="1"/>
    <col min="11269" max="11269" width="29.42578125" style="109" customWidth="1"/>
    <col min="11270" max="11520" width="9.140625" style="109"/>
    <col min="11521" max="11521" width="9.85546875" style="109" customWidth="1"/>
    <col min="11522" max="11522" width="43" style="109" customWidth="1"/>
    <col min="11523" max="11523" width="8.28515625" style="109" customWidth="1"/>
    <col min="11524" max="11524" width="20.140625" style="109" bestFit="1" customWidth="1"/>
    <col min="11525" max="11525" width="29.42578125" style="109" customWidth="1"/>
    <col min="11526" max="11776" width="9.140625" style="109"/>
    <col min="11777" max="11777" width="9.85546875" style="109" customWidth="1"/>
    <col min="11778" max="11778" width="43" style="109" customWidth="1"/>
    <col min="11779" max="11779" width="8.28515625" style="109" customWidth="1"/>
    <col min="11780" max="11780" width="20.140625" style="109" bestFit="1" customWidth="1"/>
    <col min="11781" max="11781" width="29.42578125" style="109" customWidth="1"/>
    <col min="11782" max="12032" width="9.140625" style="109"/>
    <col min="12033" max="12033" width="9.85546875" style="109" customWidth="1"/>
    <col min="12034" max="12034" width="43" style="109" customWidth="1"/>
    <col min="12035" max="12035" width="8.28515625" style="109" customWidth="1"/>
    <col min="12036" max="12036" width="20.140625" style="109" bestFit="1" customWidth="1"/>
    <col min="12037" max="12037" width="29.42578125" style="109" customWidth="1"/>
    <col min="12038" max="12288" width="9.140625" style="109"/>
    <col min="12289" max="12289" width="9.85546875" style="109" customWidth="1"/>
    <col min="12290" max="12290" width="43" style="109" customWidth="1"/>
    <col min="12291" max="12291" width="8.28515625" style="109" customWidth="1"/>
    <col min="12292" max="12292" width="20.140625" style="109" bestFit="1" customWidth="1"/>
    <col min="12293" max="12293" width="29.42578125" style="109" customWidth="1"/>
    <col min="12294" max="12544" width="9.140625" style="109"/>
    <col min="12545" max="12545" width="9.85546875" style="109" customWidth="1"/>
    <col min="12546" max="12546" width="43" style="109" customWidth="1"/>
    <col min="12547" max="12547" width="8.28515625" style="109" customWidth="1"/>
    <col min="12548" max="12548" width="20.140625" style="109" bestFit="1" customWidth="1"/>
    <col min="12549" max="12549" width="29.42578125" style="109" customWidth="1"/>
    <col min="12550" max="12800" width="9.140625" style="109"/>
    <col min="12801" max="12801" width="9.85546875" style="109" customWidth="1"/>
    <col min="12802" max="12802" width="43" style="109" customWidth="1"/>
    <col min="12803" max="12803" width="8.28515625" style="109" customWidth="1"/>
    <col min="12804" max="12804" width="20.140625" style="109" bestFit="1" customWidth="1"/>
    <col min="12805" max="12805" width="29.42578125" style="109" customWidth="1"/>
    <col min="12806" max="13056" width="9.140625" style="109"/>
    <col min="13057" max="13057" width="9.85546875" style="109" customWidth="1"/>
    <col min="13058" max="13058" width="43" style="109" customWidth="1"/>
    <col min="13059" max="13059" width="8.28515625" style="109" customWidth="1"/>
    <col min="13060" max="13060" width="20.140625" style="109" bestFit="1" customWidth="1"/>
    <col min="13061" max="13061" width="29.42578125" style="109" customWidth="1"/>
    <col min="13062" max="13312" width="9.140625" style="109"/>
    <col min="13313" max="13313" width="9.85546875" style="109" customWidth="1"/>
    <col min="13314" max="13314" width="43" style="109" customWidth="1"/>
    <col min="13315" max="13315" width="8.28515625" style="109" customWidth="1"/>
    <col min="13316" max="13316" width="20.140625" style="109" bestFit="1" customWidth="1"/>
    <col min="13317" max="13317" width="29.42578125" style="109" customWidth="1"/>
    <col min="13318" max="13568" width="9.140625" style="109"/>
    <col min="13569" max="13569" width="9.85546875" style="109" customWidth="1"/>
    <col min="13570" max="13570" width="43" style="109" customWidth="1"/>
    <col min="13571" max="13571" width="8.28515625" style="109" customWidth="1"/>
    <col min="13572" max="13572" width="20.140625" style="109" bestFit="1" customWidth="1"/>
    <col min="13573" max="13573" width="29.42578125" style="109" customWidth="1"/>
    <col min="13574" max="13824" width="9.140625" style="109"/>
    <col min="13825" max="13825" width="9.85546875" style="109" customWidth="1"/>
    <col min="13826" max="13826" width="43" style="109" customWidth="1"/>
    <col min="13827" max="13827" width="8.28515625" style="109" customWidth="1"/>
    <col min="13828" max="13828" width="20.140625" style="109" bestFit="1" customWidth="1"/>
    <col min="13829" max="13829" width="29.42578125" style="109" customWidth="1"/>
    <col min="13830" max="14080" width="9.140625" style="109"/>
    <col min="14081" max="14081" width="9.85546875" style="109" customWidth="1"/>
    <col min="14082" max="14082" width="43" style="109" customWidth="1"/>
    <col min="14083" max="14083" width="8.28515625" style="109" customWidth="1"/>
    <col min="14084" max="14084" width="20.140625" style="109" bestFit="1" customWidth="1"/>
    <col min="14085" max="14085" width="29.42578125" style="109" customWidth="1"/>
    <col min="14086" max="14336" width="9.140625" style="109"/>
    <col min="14337" max="14337" width="9.85546875" style="109" customWidth="1"/>
    <col min="14338" max="14338" width="43" style="109" customWidth="1"/>
    <col min="14339" max="14339" width="8.28515625" style="109" customWidth="1"/>
    <col min="14340" max="14340" width="20.140625" style="109" bestFit="1" customWidth="1"/>
    <col min="14341" max="14341" width="29.42578125" style="109" customWidth="1"/>
    <col min="14342" max="14592" width="9.140625" style="109"/>
    <col min="14593" max="14593" width="9.85546875" style="109" customWidth="1"/>
    <col min="14594" max="14594" width="43" style="109" customWidth="1"/>
    <col min="14595" max="14595" width="8.28515625" style="109" customWidth="1"/>
    <col min="14596" max="14596" width="20.140625" style="109" bestFit="1" customWidth="1"/>
    <col min="14597" max="14597" width="29.42578125" style="109" customWidth="1"/>
    <col min="14598" max="14848" width="9.140625" style="109"/>
    <col min="14849" max="14849" width="9.85546875" style="109" customWidth="1"/>
    <col min="14850" max="14850" width="43" style="109" customWidth="1"/>
    <col min="14851" max="14851" width="8.28515625" style="109" customWidth="1"/>
    <col min="14852" max="14852" width="20.140625" style="109" bestFit="1" customWidth="1"/>
    <col min="14853" max="14853" width="29.42578125" style="109" customWidth="1"/>
    <col min="14854" max="15104" width="9.140625" style="109"/>
    <col min="15105" max="15105" width="9.85546875" style="109" customWidth="1"/>
    <col min="15106" max="15106" width="43" style="109" customWidth="1"/>
    <col min="15107" max="15107" width="8.28515625" style="109" customWidth="1"/>
    <col min="15108" max="15108" width="20.140625" style="109" bestFit="1" customWidth="1"/>
    <col min="15109" max="15109" width="29.42578125" style="109" customWidth="1"/>
    <col min="15110" max="15360" width="9.140625" style="109"/>
    <col min="15361" max="15361" width="9.85546875" style="109" customWidth="1"/>
    <col min="15362" max="15362" width="43" style="109" customWidth="1"/>
    <col min="15363" max="15363" width="8.28515625" style="109" customWidth="1"/>
    <col min="15364" max="15364" width="20.140625" style="109" bestFit="1" customWidth="1"/>
    <col min="15365" max="15365" width="29.42578125" style="109" customWidth="1"/>
    <col min="15366" max="15616" width="9.140625" style="109"/>
    <col min="15617" max="15617" width="9.85546875" style="109" customWidth="1"/>
    <col min="15618" max="15618" width="43" style="109" customWidth="1"/>
    <col min="15619" max="15619" width="8.28515625" style="109" customWidth="1"/>
    <col min="15620" max="15620" width="20.140625" style="109" bestFit="1" customWidth="1"/>
    <col min="15621" max="15621" width="29.42578125" style="109" customWidth="1"/>
    <col min="15622" max="15872" width="9.140625" style="109"/>
    <col min="15873" max="15873" width="9.85546875" style="109" customWidth="1"/>
    <col min="15874" max="15874" width="43" style="109" customWidth="1"/>
    <col min="15875" max="15875" width="8.28515625" style="109" customWidth="1"/>
    <col min="15876" max="15876" width="20.140625" style="109" bestFit="1" customWidth="1"/>
    <col min="15877" max="15877" width="29.42578125" style="109" customWidth="1"/>
    <col min="15878" max="16128" width="9.140625" style="109"/>
    <col min="16129" max="16129" width="9.85546875" style="109" customWidth="1"/>
    <col min="16130" max="16130" width="43" style="109" customWidth="1"/>
    <col min="16131" max="16131" width="8.28515625" style="109" customWidth="1"/>
    <col min="16132" max="16132" width="20.140625" style="109" bestFit="1" customWidth="1"/>
    <col min="16133" max="16133" width="29.42578125" style="109" customWidth="1"/>
    <col min="16134" max="16384" width="9.140625" style="109"/>
  </cols>
  <sheetData>
    <row r="1" spans="1:43" ht="20.25" x14ac:dyDescent="0.3">
      <c r="A1" s="253" t="s">
        <v>763</v>
      </c>
      <c r="B1" s="253"/>
      <c r="C1" s="253"/>
      <c r="D1" s="253"/>
      <c r="E1" s="253"/>
    </row>
    <row r="2" spans="1:43" x14ac:dyDescent="0.2">
      <c r="A2" s="108"/>
      <c r="N2" s="109" t="s">
        <v>925</v>
      </c>
    </row>
    <row r="3" spans="1:43" ht="15" x14ac:dyDescent="0.25">
      <c r="A3" s="108" t="s">
        <v>376</v>
      </c>
      <c r="N3" s="249" t="s">
        <v>927</v>
      </c>
    </row>
    <row r="4" spans="1:43" x14ac:dyDescent="0.2">
      <c r="A4" s="211" t="s">
        <v>764</v>
      </c>
      <c r="H4" s="127"/>
      <c r="T4" s="127"/>
      <c r="AF4" s="127"/>
      <c r="AN4" s="127"/>
    </row>
    <row r="5" spans="1:43" ht="15" x14ac:dyDescent="0.25">
      <c r="A5" s="109" t="s">
        <v>513</v>
      </c>
      <c r="B5" s="109" t="s">
        <v>439</v>
      </c>
      <c r="C5" s="109">
        <v>12</v>
      </c>
      <c r="D5" s="132" t="s">
        <v>765</v>
      </c>
      <c r="E5" s="210" t="s">
        <v>766</v>
      </c>
      <c r="I5" s="127"/>
      <c r="J5" s="127"/>
      <c r="K5" s="127"/>
      <c r="L5" s="127"/>
      <c r="M5" s="127"/>
      <c r="U5" s="127"/>
      <c r="V5" s="127"/>
      <c r="W5" s="127"/>
      <c r="X5" s="127"/>
      <c r="Y5" s="127"/>
      <c r="AG5" s="127"/>
      <c r="AH5" s="127"/>
      <c r="AI5" s="127"/>
      <c r="AJ5" s="127"/>
      <c r="AK5" s="127"/>
      <c r="AO5" s="127"/>
      <c r="AP5" s="127"/>
      <c r="AQ5" s="127"/>
    </row>
    <row r="6" spans="1:43" x14ac:dyDescent="0.2">
      <c r="A6" s="109" t="s">
        <v>478</v>
      </c>
      <c r="B6" s="109" t="s">
        <v>767</v>
      </c>
      <c r="C6" s="109">
        <v>150</v>
      </c>
      <c r="D6" s="109" t="s">
        <v>768</v>
      </c>
      <c r="I6" s="127"/>
      <c r="J6" s="127"/>
      <c r="K6" s="127"/>
      <c r="L6" s="127"/>
      <c r="M6" s="127"/>
      <c r="U6" s="127"/>
      <c r="V6" s="127"/>
      <c r="W6" s="127"/>
      <c r="X6" s="127"/>
      <c r="Y6" s="127"/>
      <c r="AG6" s="127"/>
      <c r="AH6" s="127"/>
      <c r="AI6" s="127"/>
      <c r="AJ6" s="127"/>
      <c r="AK6" s="127"/>
      <c r="AO6" s="127"/>
      <c r="AP6" s="127"/>
      <c r="AQ6" s="127"/>
    </row>
    <row r="7" spans="1:43" x14ac:dyDescent="0.2">
      <c r="A7" s="211" t="s">
        <v>769</v>
      </c>
      <c r="I7" s="127"/>
      <c r="J7" s="127"/>
      <c r="K7" s="127"/>
      <c r="L7" s="127"/>
      <c r="M7" s="127"/>
      <c r="U7" s="127"/>
      <c r="V7" s="127"/>
      <c r="W7" s="127"/>
      <c r="X7" s="127"/>
      <c r="Y7" s="127"/>
      <c r="AG7" s="127"/>
      <c r="AH7" s="127"/>
      <c r="AI7" s="127"/>
      <c r="AJ7" s="127"/>
      <c r="AK7" s="127"/>
      <c r="AO7" s="127"/>
      <c r="AP7" s="127"/>
      <c r="AQ7" s="127"/>
    </row>
    <row r="8" spans="1:43" ht="15" x14ac:dyDescent="0.25">
      <c r="A8" s="132" t="s">
        <v>770</v>
      </c>
      <c r="B8" s="109" t="s">
        <v>771</v>
      </c>
      <c r="C8" s="109">
        <v>40</v>
      </c>
      <c r="D8" s="109" t="s">
        <v>772</v>
      </c>
      <c r="I8" s="127"/>
      <c r="J8" s="127"/>
      <c r="K8" s="127"/>
      <c r="L8" s="127"/>
      <c r="M8" s="127"/>
      <c r="U8" s="127"/>
      <c r="V8" s="127"/>
      <c r="W8" s="127"/>
      <c r="X8" s="127"/>
      <c r="Y8" s="127"/>
      <c r="AG8" s="127"/>
      <c r="AH8" s="127"/>
      <c r="AI8" s="127"/>
      <c r="AJ8" s="127"/>
      <c r="AK8" s="127"/>
      <c r="AO8" s="127"/>
      <c r="AP8" s="127"/>
      <c r="AQ8" s="127"/>
    </row>
    <row r="9" spans="1:43" x14ac:dyDescent="0.2">
      <c r="A9" s="109" t="s">
        <v>773</v>
      </c>
      <c r="B9" s="109" t="s">
        <v>774</v>
      </c>
      <c r="C9" s="109">
        <v>0</v>
      </c>
      <c r="D9" s="109" t="s">
        <v>775</v>
      </c>
      <c r="I9" s="127"/>
      <c r="J9" s="127"/>
      <c r="K9" s="127"/>
      <c r="L9" s="127"/>
      <c r="M9" s="127"/>
      <c r="U9" s="127"/>
      <c r="V9" s="127"/>
      <c r="W9" s="127"/>
      <c r="X9" s="127"/>
      <c r="Y9" s="127"/>
      <c r="AG9" s="127"/>
      <c r="AH9" s="127"/>
      <c r="AI9" s="127"/>
      <c r="AJ9" s="127"/>
      <c r="AK9" s="127"/>
      <c r="AO9" s="127"/>
      <c r="AP9" s="127"/>
      <c r="AQ9" s="127"/>
    </row>
    <row r="10" spans="1:43" x14ac:dyDescent="0.2">
      <c r="A10" s="132" t="s">
        <v>776</v>
      </c>
      <c r="B10" s="109" t="s">
        <v>777</v>
      </c>
      <c r="C10" s="109">
        <v>0.8</v>
      </c>
      <c r="D10" s="109" t="s">
        <v>778</v>
      </c>
      <c r="F10" s="127"/>
      <c r="I10" s="127"/>
      <c r="J10" s="127"/>
      <c r="K10" s="127"/>
      <c r="L10" s="127"/>
      <c r="M10" s="127"/>
      <c r="U10" s="127"/>
      <c r="V10" s="127"/>
      <c r="W10" s="127"/>
      <c r="X10" s="127"/>
      <c r="Y10" s="127"/>
      <c r="AG10" s="127"/>
      <c r="AO10" s="127"/>
    </row>
    <row r="11" spans="1:43" ht="15" x14ac:dyDescent="0.25">
      <c r="A11" s="109" t="s">
        <v>779</v>
      </c>
      <c r="B11" s="109" t="s">
        <v>780</v>
      </c>
      <c r="C11" s="109">
        <v>40</v>
      </c>
      <c r="D11" s="109" t="s">
        <v>772</v>
      </c>
    </row>
    <row r="12" spans="1:43" x14ac:dyDescent="0.2">
      <c r="A12" s="109" t="s">
        <v>781</v>
      </c>
      <c r="B12" s="109" t="s">
        <v>782</v>
      </c>
      <c r="C12" s="109">
        <v>1</v>
      </c>
      <c r="D12" s="109" t="s">
        <v>783</v>
      </c>
    </row>
    <row r="13" spans="1:43" x14ac:dyDescent="0.2">
      <c r="A13" s="211" t="s">
        <v>784</v>
      </c>
    </row>
    <row r="14" spans="1:43" x14ac:dyDescent="0.2">
      <c r="A14" s="132" t="s">
        <v>153</v>
      </c>
      <c r="B14" s="109" t="s">
        <v>785</v>
      </c>
      <c r="C14" s="109">
        <v>6</v>
      </c>
      <c r="D14" s="109" t="s">
        <v>786</v>
      </c>
    </row>
    <row r="15" spans="1:43" x14ac:dyDescent="0.2">
      <c r="A15" s="109" t="s">
        <v>787</v>
      </c>
      <c r="B15" s="109" t="s">
        <v>788</v>
      </c>
      <c r="C15" s="127">
        <v>12</v>
      </c>
      <c r="D15" s="109" t="s">
        <v>789</v>
      </c>
      <c r="E15" s="210" t="s">
        <v>790</v>
      </c>
    </row>
    <row r="16" spans="1:43" ht="15" x14ac:dyDescent="0.25">
      <c r="A16" s="109" t="s">
        <v>791</v>
      </c>
      <c r="B16" s="109" t="s">
        <v>792</v>
      </c>
      <c r="C16" s="109">
        <v>24</v>
      </c>
      <c r="D16" s="109" t="s">
        <v>793</v>
      </c>
    </row>
    <row r="17" spans="1:6" x14ac:dyDescent="0.2">
      <c r="A17" s="109" t="s">
        <v>794</v>
      </c>
      <c r="B17" s="109" t="s">
        <v>795</v>
      </c>
      <c r="C17" s="109">
        <v>4</v>
      </c>
      <c r="D17" s="109" t="s">
        <v>92</v>
      </c>
    </row>
    <row r="18" spans="1:6" ht="15" x14ac:dyDescent="0.25">
      <c r="A18" s="132" t="s">
        <v>796</v>
      </c>
      <c r="B18" s="109" t="s">
        <v>797</v>
      </c>
      <c r="C18" s="109">
        <v>0.03</v>
      </c>
      <c r="D18" s="109" t="s">
        <v>798</v>
      </c>
    </row>
    <row r="19" spans="1:6" ht="15" x14ac:dyDescent="0.25">
      <c r="A19" s="132" t="s">
        <v>799</v>
      </c>
      <c r="B19" s="109" t="s">
        <v>800</v>
      </c>
      <c r="C19" s="109">
        <v>0.03</v>
      </c>
      <c r="D19" s="109" t="s">
        <v>798</v>
      </c>
    </row>
    <row r="20" spans="1:6" x14ac:dyDescent="0.2">
      <c r="A20" s="211" t="s">
        <v>801</v>
      </c>
    </row>
    <row r="21" spans="1:6" ht="15" x14ac:dyDescent="0.25">
      <c r="A21" s="132" t="s">
        <v>802</v>
      </c>
      <c r="B21" s="109" t="s">
        <v>803</v>
      </c>
      <c r="C21" s="109">
        <v>70</v>
      </c>
      <c r="D21" s="109" t="s">
        <v>772</v>
      </c>
    </row>
    <row r="22" spans="1:6" x14ac:dyDescent="0.2">
      <c r="A22" s="109" t="s">
        <v>804</v>
      </c>
      <c r="B22" s="109" t="s">
        <v>805</v>
      </c>
      <c r="C22" s="109">
        <v>0</v>
      </c>
      <c r="D22" s="109" t="s">
        <v>806</v>
      </c>
      <c r="F22" s="127"/>
    </row>
    <row r="23" spans="1:6" x14ac:dyDescent="0.2">
      <c r="A23" s="108" t="s">
        <v>415</v>
      </c>
      <c r="C23" s="212"/>
    </row>
    <row r="24" spans="1:6" x14ac:dyDescent="0.2">
      <c r="A24" s="109" t="s">
        <v>807</v>
      </c>
      <c r="B24" s="109" t="s">
        <v>808</v>
      </c>
      <c r="C24" s="213">
        <f>Vt*Nt</f>
        <v>24</v>
      </c>
      <c r="D24" s="109" t="s">
        <v>775</v>
      </c>
      <c r="E24" s="213" t="s">
        <v>809</v>
      </c>
    </row>
    <row r="25" spans="1:6" ht="15" x14ac:dyDescent="0.25">
      <c r="A25" s="109" t="s">
        <v>810</v>
      </c>
      <c r="B25" s="109" t="s">
        <v>811</v>
      </c>
      <c r="C25" s="214">
        <f>Vt/Cm_u</f>
        <v>8.5714285714285715E-2</v>
      </c>
      <c r="D25" s="109" t="s">
        <v>798</v>
      </c>
      <c r="E25" s="215" t="s">
        <v>812</v>
      </c>
      <c r="F25" s="127"/>
    </row>
    <row r="26" spans="1:6" ht="15" x14ac:dyDescent="0.25">
      <c r="A26" s="109" t="s">
        <v>813</v>
      </c>
      <c r="B26" s="109" t="s">
        <v>814</v>
      </c>
      <c r="C26" s="214">
        <f>Dt/St</f>
        <v>0.5</v>
      </c>
      <c r="D26" s="109" t="s">
        <v>798</v>
      </c>
      <c r="E26" s="214" t="s">
        <v>815</v>
      </c>
      <c r="F26" s="127"/>
    </row>
    <row r="27" spans="1:6" ht="15" x14ac:dyDescent="0.25">
      <c r="A27" s="132" t="s">
        <v>816</v>
      </c>
      <c r="B27" s="109" t="s">
        <v>817</v>
      </c>
      <c r="C27" s="214">
        <f>(1-Iht)*Vt/TRh</f>
        <v>0</v>
      </c>
      <c r="D27" s="109" t="s">
        <v>798</v>
      </c>
      <c r="E27" s="214" t="s">
        <v>818</v>
      </c>
      <c r="F27" s="127"/>
    </row>
    <row r="28" spans="1:6" ht="26.25" x14ac:dyDescent="0.25">
      <c r="A28" s="132" t="s">
        <v>819</v>
      </c>
      <c r="B28" s="109" t="s">
        <v>820</v>
      </c>
      <c r="C28" s="214">
        <f>IF(Vt&gt;Vh,(Vt-Vh)/(Cm_max*Ef_max),0)</f>
        <v>0.1875</v>
      </c>
      <c r="D28" s="109" t="s">
        <v>798</v>
      </c>
      <c r="E28" s="215" t="s">
        <v>821</v>
      </c>
      <c r="F28" s="127"/>
    </row>
    <row r="29" spans="1:6" ht="15" x14ac:dyDescent="0.25">
      <c r="A29" s="109" t="s">
        <v>822</v>
      </c>
      <c r="B29" s="109" t="s">
        <v>823</v>
      </c>
      <c r="C29" s="214">
        <f>Vc/(Cm_max*Ef_max)+Tht_t*Nt</f>
        <v>0.75</v>
      </c>
      <c r="D29" s="109" t="s">
        <v>824</v>
      </c>
      <c r="E29" s="215" t="s">
        <v>825</v>
      </c>
      <c r="F29" s="127"/>
    </row>
    <row r="30" spans="1:6" ht="15" x14ac:dyDescent="0.25">
      <c r="A30" s="109" t="s">
        <v>826</v>
      </c>
      <c r="B30" s="109" t="s">
        <v>827</v>
      </c>
      <c r="C30" s="216">
        <f>Ttu_a+Ttu_u+Tht_t+Tht_h+Tt</f>
        <v>0.80321428571428566</v>
      </c>
      <c r="D30" s="109" t="s">
        <v>824</v>
      </c>
      <c r="E30" s="217" t="s">
        <v>828</v>
      </c>
      <c r="F30" s="127"/>
    </row>
    <row r="31" spans="1:6" ht="15" x14ac:dyDescent="0.25">
      <c r="A31" s="109" t="s">
        <v>829</v>
      </c>
      <c r="B31" s="109" t="s">
        <v>830</v>
      </c>
      <c r="C31" s="216">
        <f>Nt*(Ttu_a+Ttu_u)</f>
        <v>0.46285714285714286</v>
      </c>
      <c r="D31" s="109" t="s">
        <v>824</v>
      </c>
      <c r="E31" s="217" t="s">
        <v>831</v>
      </c>
      <c r="F31" s="127"/>
    </row>
    <row r="32" spans="1:6" ht="39" x14ac:dyDescent="0.25">
      <c r="A32" s="132" t="s">
        <v>832</v>
      </c>
      <c r="B32" s="109" t="s">
        <v>833</v>
      </c>
      <c r="C32" s="214">
        <f>IF(CTt+Tht_a&gt;CTh+Nt*Tht_a,  MAX(CTh+Nt*Tht_a, CTt, CTu),  MAX(CTh, CTt+Tht_a, CTu) )</f>
        <v>0.83321428571428569</v>
      </c>
      <c r="D32" s="109" t="s">
        <v>824</v>
      </c>
      <c r="E32" s="215" t="s">
        <v>834</v>
      </c>
      <c r="F32" s="127"/>
    </row>
    <row r="33" spans="1:6" ht="26.25" x14ac:dyDescent="0.25">
      <c r="A33" s="132" t="s">
        <v>835</v>
      </c>
      <c r="B33" s="109" t="s">
        <v>836</v>
      </c>
      <c r="C33" s="214">
        <f>IF(CTt+Tht_a&gt;CTh+Nt*Tht_a, CT-CTh-Nt*Tht_a, CT-CTh)</f>
        <v>8.3214285714285685E-2</v>
      </c>
      <c r="D33" s="109" t="s">
        <v>824</v>
      </c>
      <c r="E33" s="215" t="s">
        <v>837</v>
      </c>
      <c r="F33" s="127"/>
    </row>
    <row r="34" spans="1:6" ht="26.25" x14ac:dyDescent="0.25">
      <c r="A34" s="132" t="s">
        <v>838</v>
      </c>
      <c r="B34" s="109" t="s">
        <v>839</v>
      </c>
      <c r="C34" s="214">
        <f>IF(CTt+Tht_a &gt; CTh+Nt*Tht_a, CT-CTt, CT-CTt-Tht_a)</f>
        <v>2.7755575615628914E-17</v>
      </c>
      <c r="D34" s="109" t="s">
        <v>824</v>
      </c>
      <c r="E34" s="215" t="s">
        <v>840</v>
      </c>
      <c r="F34" s="127"/>
    </row>
    <row r="35" spans="1:6" ht="15" x14ac:dyDescent="0.25">
      <c r="A35" s="109" t="s">
        <v>841</v>
      </c>
      <c r="B35" s="109" t="s">
        <v>842</v>
      </c>
      <c r="C35" s="214">
        <f>CT-CTu</f>
        <v>0.37035714285714283</v>
      </c>
      <c r="D35" s="109" t="s">
        <v>824</v>
      </c>
      <c r="E35" s="214" t="s">
        <v>843</v>
      </c>
      <c r="F35" s="127"/>
    </row>
    <row r="36" spans="1:6" x14ac:dyDescent="0.2">
      <c r="A36" s="109" t="s">
        <v>705</v>
      </c>
      <c r="B36" s="109" t="s">
        <v>844</v>
      </c>
      <c r="C36" s="214">
        <f>(1+Nt+Lu)</f>
        <v>5</v>
      </c>
      <c r="D36" s="109" t="s">
        <v>92</v>
      </c>
      <c r="E36" s="214" t="s">
        <v>845</v>
      </c>
      <c r="F36" s="127"/>
    </row>
    <row r="37" spans="1:6" ht="15" x14ac:dyDescent="0.25">
      <c r="A37" s="109" t="s">
        <v>846</v>
      </c>
      <c r="B37" s="109" t="s">
        <v>847</v>
      </c>
      <c r="C37" s="214">
        <f>Ti_h+Nt*Ti_t+Lu*Ti_u</f>
        <v>8.3214285714285796E-2</v>
      </c>
      <c r="D37" s="109" t="s">
        <v>824</v>
      </c>
      <c r="E37" s="215" t="s">
        <v>848</v>
      </c>
      <c r="F37" s="127"/>
    </row>
    <row r="38" spans="1:6" x14ac:dyDescent="0.2">
      <c r="A38" s="108" t="s">
        <v>393</v>
      </c>
      <c r="C38" s="218"/>
      <c r="E38" s="218"/>
      <c r="F38" s="127"/>
    </row>
    <row r="39" spans="1:6" ht="15" x14ac:dyDescent="0.25">
      <c r="A39" s="109" t="s">
        <v>849</v>
      </c>
      <c r="B39" s="109" t="s">
        <v>850</v>
      </c>
      <c r="C39" s="219">
        <f>Vc/(Cm_max*Ef_max)/CT</f>
        <v>0.90012858979854271</v>
      </c>
      <c r="D39" s="109" t="s">
        <v>851</v>
      </c>
      <c r="E39" s="220" t="s">
        <v>852</v>
      </c>
      <c r="F39" s="127"/>
    </row>
    <row r="40" spans="1:6" ht="15" x14ac:dyDescent="0.25">
      <c r="A40" s="109" t="s">
        <v>853</v>
      </c>
      <c r="B40" s="109" t="s">
        <v>854</v>
      </c>
      <c r="C40" s="219">
        <f>Tt/CT</f>
        <v>0.60008572653236181</v>
      </c>
      <c r="D40" s="109" t="s">
        <v>855</v>
      </c>
      <c r="E40" s="219" t="s">
        <v>856</v>
      </c>
      <c r="F40" s="127"/>
    </row>
    <row r="41" spans="1:6" ht="15" x14ac:dyDescent="0.25">
      <c r="A41" s="109" t="s">
        <v>857</v>
      </c>
      <c r="B41" s="109" t="s">
        <v>858</v>
      </c>
      <c r="C41" s="219">
        <f>(CT-Ti_t)/CT</f>
        <v>1</v>
      </c>
      <c r="D41" s="109" t="s">
        <v>859</v>
      </c>
      <c r="E41" s="220" t="s">
        <v>860</v>
      </c>
    </row>
    <row r="42" spans="1:6" ht="15" x14ac:dyDescent="0.25">
      <c r="A42" s="109" t="s">
        <v>861</v>
      </c>
      <c r="B42" s="109" t="s">
        <v>862</v>
      </c>
      <c r="C42" s="221">
        <f>Nt*(Vt/Cm_u)/CT</f>
        <v>0.41148735533647668</v>
      </c>
      <c r="D42" s="109" t="s">
        <v>863</v>
      </c>
      <c r="E42" s="138" t="s">
        <v>864</v>
      </c>
    </row>
    <row r="43" spans="1:6" ht="15" x14ac:dyDescent="0.25">
      <c r="A43" s="109" t="s">
        <v>865</v>
      </c>
      <c r="B43" s="109" t="s">
        <v>866</v>
      </c>
      <c r="C43" s="221">
        <f>CTu/CT</f>
        <v>0.55550792970424345</v>
      </c>
      <c r="D43" s="109" t="s">
        <v>867</v>
      </c>
      <c r="E43" s="221" t="s">
        <v>868</v>
      </c>
    </row>
    <row r="44" spans="1:6" ht="15" x14ac:dyDescent="0.25">
      <c r="A44" s="109" t="s">
        <v>869</v>
      </c>
      <c r="B44" s="109" t="s">
        <v>870</v>
      </c>
      <c r="C44" s="219">
        <f>1-Li/(L*CT)</f>
        <v>0.9800257179597085</v>
      </c>
      <c r="D44" s="109" t="s">
        <v>871</v>
      </c>
      <c r="E44" s="219" t="s">
        <v>872</v>
      </c>
    </row>
    <row r="45" spans="1:6" ht="15" x14ac:dyDescent="0.25">
      <c r="A45" s="132" t="s">
        <v>873</v>
      </c>
      <c r="B45" s="109" t="s">
        <v>874</v>
      </c>
      <c r="C45" s="222">
        <f>Uh*Ef_max*Cm_max</f>
        <v>28.80411487355337</v>
      </c>
      <c r="D45" s="109" t="s">
        <v>772</v>
      </c>
      <c r="E45" s="223" t="s">
        <v>875</v>
      </c>
    </row>
    <row r="46" spans="1:6" x14ac:dyDescent="0.2">
      <c r="A46" s="109" t="s">
        <v>876</v>
      </c>
      <c r="B46" s="109" t="s">
        <v>877</v>
      </c>
      <c r="C46" s="219">
        <f>Csys_a/Cm_max</f>
        <v>0.72010287183883426</v>
      </c>
      <c r="D46" s="109" t="s">
        <v>778</v>
      </c>
      <c r="E46" s="220" t="s">
        <v>878</v>
      </c>
    </row>
    <row r="47" spans="1:6" x14ac:dyDescent="0.2">
      <c r="A47" s="109" t="s">
        <v>377</v>
      </c>
      <c r="B47" s="109" t="s">
        <v>879</v>
      </c>
      <c r="C47" s="224">
        <f>Y*A/Csys_a</f>
        <v>62.491071428571416</v>
      </c>
      <c r="D47" s="109" t="s">
        <v>222</v>
      </c>
      <c r="E47" s="224" t="s">
        <v>880</v>
      </c>
    </row>
    <row r="48" spans="1:6" x14ac:dyDescent="0.2">
      <c r="A48" s="109" t="s">
        <v>881</v>
      </c>
      <c r="B48" s="109" t="s">
        <v>882</v>
      </c>
      <c r="C48" s="224">
        <f>L*T</f>
        <v>312.45535714285711</v>
      </c>
      <c r="D48" s="109" t="s">
        <v>222</v>
      </c>
      <c r="E48" s="224" t="s">
        <v>883</v>
      </c>
    </row>
    <row r="49" spans="1:15" ht="15" x14ac:dyDescent="0.25">
      <c r="A49" s="109" t="s">
        <v>884</v>
      </c>
      <c r="B49" s="109" t="s">
        <v>885</v>
      </c>
      <c r="C49" s="222">
        <f>Vc/CT</f>
        <v>28.804114873553367</v>
      </c>
      <c r="D49" s="109" t="s">
        <v>772</v>
      </c>
      <c r="E49" s="222" t="s">
        <v>886</v>
      </c>
    </row>
    <row r="51" spans="1:15" x14ac:dyDescent="0.2">
      <c r="J51" s="127"/>
    </row>
    <row r="52" spans="1:15" x14ac:dyDescent="0.2">
      <c r="K52" s="127"/>
      <c r="L52" s="127"/>
      <c r="M52" s="127"/>
      <c r="N52" s="127"/>
      <c r="O52" s="127"/>
    </row>
    <row r="53" spans="1:15" x14ac:dyDescent="0.2">
      <c r="A53" s="225"/>
      <c r="K53" s="127"/>
      <c r="L53" s="127"/>
      <c r="M53" s="127"/>
      <c r="N53" s="127"/>
      <c r="O53" s="127"/>
    </row>
    <row r="54" spans="1:15" x14ac:dyDescent="0.2">
      <c r="B54" s="109" t="s">
        <v>887</v>
      </c>
      <c r="C54" s="109" t="s">
        <v>849</v>
      </c>
      <c r="D54" s="109" t="s">
        <v>869</v>
      </c>
      <c r="E54" s="210" t="s">
        <v>377</v>
      </c>
      <c r="F54" s="109" t="s">
        <v>881</v>
      </c>
      <c r="G54" s="109" t="s">
        <v>884</v>
      </c>
      <c r="K54" s="127"/>
      <c r="L54" s="127"/>
      <c r="M54" s="127"/>
      <c r="N54" s="127"/>
      <c r="O54" s="127"/>
    </row>
    <row r="55" spans="1:15" x14ac:dyDescent="0.2">
      <c r="C55" s="117">
        <f>C39</f>
        <v>0.90012858979854271</v>
      </c>
      <c r="D55" s="117">
        <f>C44</f>
        <v>0.9800257179597085</v>
      </c>
      <c r="E55" s="226">
        <f>C47</f>
        <v>62.491071428571416</v>
      </c>
      <c r="F55" s="137">
        <f>C48</f>
        <v>312.45535714285711</v>
      </c>
      <c r="G55" s="127">
        <f>C49</f>
        <v>28.804114873553367</v>
      </c>
      <c r="K55" s="127"/>
      <c r="L55" s="127"/>
      <c r="M55" s="127"/>
      <c r="N55" s="127"/>
      <c r="O55" s="127"/>
    </row>
    <row r="56" spans="1:15" x14ac:dyDescent="0.2">
      <c r="A56" s="137"/>
      <c r="B56" s="137">
        <v>8</v>
      </c>
      <c r="C56" s="117"/>
      <c r="D56" s="117"/>
      <c r="E56" s="226"/>
      <c r="F56" s="137"/>
      <c r="G56" s="127"/>
      <c r="K56" s="127"/>
      <c r="L56" s="127"/>
      <c r="M56" s="127"/>
      <c r="N56" s="127"/>
      <c r="O56" s="127"/>
    </row>
    <row r="57" spans="1:15" x14ac:dyDescent="0.2">
      <c r="A57" s="137"/>
      <c r="B57" s="137">
        <v>10</v>
      </c>
      <c r="C57" s="117"/>
      <c r="D57" s="117"/>
      <c r="E57" s="226"/>
      <c r="F57" s="137"/>
      <c r="G57" s="127"/>
      <c r="K57" s="127"/>
      <c r="L57" s="127"/>
      <c r="M57" s="127"/>
      <c r="N57" s="127"/>
      <c r="O57" s="127"/>
    </row>
    <row r="58" spans="1:15" x14ac:dyDescent="0.2">
      <c r="A58" s="137"/>
      <c r="B58" s="137">
        <v>12</v>
      </c>
      <c r="C58" s="117"/>
      <c r="D58" s="117"/>
      <c r="E58" s="226"/>
      <c r="F58" s="137"/>
      <c r="G58" s="127"/>
    </row>
    <row r="59" spans="1:15" x14ac:dyDescent="0.2">
      <c r="A59" s="137"/>
      <c r="B59" s="137">
        <v>14</v>
      </c>
      <c r="C59" s="117"/>
      <c r="D59" s="117"/>
      <c r="E59" s="226"/>
      <c r="F59" s="137"/>
      <c r="G59" s="127"/>
    </row>
    <row r="60" spans="1:15" x14ac:dyDescent="0.2">
      <c r="A60" s="137"/>
      <c r="B60" s="137">
        <v>16</v>
      </c>
      <c r="C60" s="117"/>
      <c r="D60" s="117"/>
      <c r="E60" s="226"/>
      <c r="F60" s="137"/>
      <c r="G60" s="127"/>
    </row>
    <row r="61" spans="1:15" x14ac:dyDescent="0.2">
      <c r="A61" s="137"/>
      <c r="B61" s="137"/>
      <c r="C61" s="137"/>
      <c r="D61" s="137"/>
      <c r="E61" s="226"/>
      <c r="F61" s="137"/>
      <c r="G61" s="137"/>
    </row>
    <row r="62" spans="1:15" x14ac:dyDescent="0.2">
      <c r="A62" s="137"/>
      <c r="B62" s="137"/>
      <c r="C62" s="137"/>
      <c r="D62" s="137"/>
      <c r="E62" s="226"/>
      <c r="F62" s="137"/>
      <c r="G62" s="137"/>
    </row>
    <row r="63" spans="1:15" x14ac:dyDescent="0.2">
      <c r="A63" s="127"/>
      <c r="B63" s="127"/>
      <c r="C63" s="127"/>
      <c r="D63" s="127"/>
    </row>
    <row r="76" spans="1:4" x14ac:dyDescent="0.2">
      <c r="A76" s="137"/>
      <c r="B76" s="127"/>
      <c r="C76" s="127"/>
      <c r="D76" s="127"/>
    </row>
    <row r="77" spans="1:4" x14ac:dyDescent="0.2">
      <c r="A77" s="137"/>
      <c r="B77" s="127"/>
      <c r="C77" s="127"/>
      <c r="D77" s="127"/>
    </row>
    <row r="87" spans="3:7" x14ac:dyDescent="0.2">
      <c r="C87" s="117"/>
      <c r="D87" s="117"/>
      <c r="E87" s="218"/>
      <c r="F87" s="117"/>
      <c r="G87" s="137"/>
    </row>
    <row r="88" spans="3:7" x14ac:dyDescent="0.2">
      <c r="C88" s="117"/>
      <c r="D88" s="117"/>
      <c r="E88" s="218"/>
      <c r="F88" s="117"/>
      <c r="G88" s="137"/>
    </row>
    <row r="89" spans="3:7" x14ac:dyDescent="0.2">
      <c r="C89" s="117"/>
      <c r="D89" s="117"/>
      <c r="E89" s="218"/>
      <c r="F89" s="117"/>
      <c r="G89" s="137"/>
    </row>
    <row r="90" spans="3:7" x14ac:dyDescent="0.2">
      <c r="C90" s="117"/>
      <c r="D90" s="117"/>
      <c r="E90" s="218"/>
      <c r="F90" s="117"/>
      <c r="G90" s="137"/>
    </row>
    <row r="91" spans="3:7" x14ac:dyDescent="0.2">
      <c r="C91" s="117"/>
      <c r="D91" s="117"/>
      <c r="E91" s="218"/>
      <c r="F91" s="117"/>
      <c r="G91" s="137"/>
    </row>
    <row r="92" spans="3:7" x14ac:dyDescent="0.2">
      <c r="C92" s="117"/>
      <c r="D92" s="117"/>
      <c r="E92" s="218"/>
      <c r="F92" s="117"/>
      <c r="G92" s="137"/>
    </row>
    <row r="93" spans="3:7" x14ac:dyDescent="0.2">
      <c r="C93" s="117"/>
      <c r="D93" s="117"/>
      <c r="E93" s="218"/>
      <c r="F93" s="117"/>
      <c r="G93" s="137"/>
    </row>
    <row r="94" spans="3:7" x14ac:dyDescent="0.2">
      <c r="C94" s="117"/>
      <c r="D94" s="117"/>
      <c r="E94" s="218"/>
      <c r="F94" s="117"/>
      <c r="G94" s="137"/>
    </row>
    <row r="95" spans="3:7" x14ac:dyDescent="0.2">
      <c r="C95" s="117"/>
      <c r="D95" s="117"/>
      <c r="E95" s="218"/>
      <c r="F95" s="117"/>
      <c r="G95" s="137"/>
    </row>
    <row r="96" spans="3:7" x14ac:dyDescent="0.2">
      <c r="C96" s="117"/>
      <c r="D96" s="117"/>
      <c r="E96" s="218"/>
      <c r="F96" s="117"/>
      <c r="G96" s="137"/>
    </row>
    <row r="117" spans="3:7" x14ac:dyDescent="0.2">
      <c r="C117" s="117"/>
      <c r="D117" s="117"/>
      <c r="E117" s="218"/>
      <c r="F117" s="117"/>
      <c r="G117" s="137"/>
    </row>
    <row r="118" spans="3:7" x14ac:dyDescent="0.2">
      <c r="C118" s="117"/>
      <c r="D118" s="117"/>
      <c r="E118" s="218"/>
      <c r="F118" s="117"/>
      <c r="G118" s="137"/>
    </row>
    <row r="119" spans="3:7" x14ac:dyDescent="0.2">
      <c r="C119" s="117"/>
      <c r="D119" s="117"/>
      <c r="E119" s="218"/>
      <c r="F119" s="117"/>
      <c r="G119" s="137"/>
    </row>
  </sheetData>
  <mergeCells count="1">
    <mergeCell ref="A1:E1"/>
  </mergeCells>
  <hyperlinks>
    <hyperlink ref="N3" r:id="rId1" xr:uid="{0E6D7CD1-D146-493F-84B5-93FFB3D302DB}"/>
  </hyperlinks>
  <printOptions horizontalCentered="1" verticalCentered="1" gridLines="1"/>
  <pageMargins left="0.5" right="0.5" top="0.5" bottom="0.5" header="0.25" footer="0.25"/>
  <pageSetup scale="85" orientation="portrait" horizontalDpi="300" verticalDpi="300" r:id="rId2"/>
  <headerFooter alignWithMargins="0">
    <oddHeader>&amp;F</oddHeader>
    <oddFooter>&amp;A</oddFooter>
  </headerFooter>
  <rowBreaks count="1" manualBreakCount="1">
    <brk id="52" max="16383" man="1"/>
  </rowBreaks>
  <drawing r:id="rId3"/>
  <legacyDrawing r:id="rId4"/>
  <oleObjects>
    <mc:AlternateContent xmlns:mc="http://schemas.openxmlformats.org/markup-compatibility/2006">
      <mc:Choice Requires="x14">
        <oleObject progId="Acrobat Document" shapeId="11265" r:id="rId5">
          <objectPr defaultSize="0" r:id="rId6">
            <anchor moveWithCells="1">
              <from>
                <xdr:col>12</xdr:col>
                <xdr:colOff>409575</xdr:colOff>
                <xdr:row>5</xdr:row>
                <xdr:rowOff>152400</xdr:rowOff>
              </from>
              <to>
                <xdr:col>19</xdr:col>
                <xdr:colOff>590550</xdr:colOff>
                <xdr:row>38</xdr:row>
                <xdr:rowOff>38100</xdr:rowOff>
              </to>
            </anchor>
          </objectPr>
        </oleObject>
      </mc:Choice>
      <mc:Fallback>
        <oleObject progId="Acrobat Document" shapeId="11265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310</vt:i4>
      </vt:variant>
    </vt:vector>
  </HeadingPairs>
  <TitlesOfParts>
    <vt:vector size="318" baseType="lpstr">
      <vt:lpstr>shaft sizing example</vt:lpstr>
      <vt:lpstr>Ballast tool demo</vt:lpstr>
      <vt:lpstr>Ballast tool demo done</vt:lpstr>
      <vt:lpstr>planter</vt:lpstr>
      <vt:lpstr>Tractor Cost</vt:lpstr>
      <vt:lpstr>planter data</vt:lpstr>
      <vt:lpstr>Integrated Model</vt:lpstr>
      <vt:lpstr>Cycle Analysis</vt:lpstr>
      <vt:lpstr>'Cycle Analysis'!A</vt:lpstr>
      <vt:lpstr>A</vt:lpstr>
      <vt:lpstr>'Integrated Model'!aa</vt:lpstr>
      <vt:lpstr>Abbrev.</vt:lpstr>
      <vt:lpstr>Abbreviation</vt:lpstr>
      <vt:lpstr>'Tractor Cost'!AC</vt:lpstr>
      <vt:lpstr>'Tractor Cost'!Afc</vt:lpstr>
      <vt:lpstr>planter!Alate</vt:lpstr>
      <vt:lpstr>AR</vt:lpstr>
      <vt:lpstr>Articulated</vt:lpstr>
      <vt:lpstr>planter!Atimely</vt:lpstr>
      <vt:lpstr>planter!B</vt:lpstr>
      <vt:lpstr>'Integrated Model'!bb</vt:lpstr>
      <vt:lpstr>'Integrated Model'!bf</vt:lpstr>
      <vt:lpstr>'Integrated Model'!bnf</vt:lpstr>
      <vt:lpstr>'Integrated Model'!bnr</vt:lpstr>
      <vt:lpstr>'Integrated Model'!br</vt:lpstr>
      <vt:lpstr>planter!Ca</vt:lpstr>
      <vt:lpstr>'Integrated Model'!cc</vt:lpstr>
      <vt:lpstr>'Integrated Model'!CDT</vt:lpstr>
      <vt:lpstr>CFA</vt:lpstr>
      <vt:lpstr>'Integrated Model'!cif</vt:lpstr>
      <vt:lpstr>'Integrated Model'!cir</vt:lpstr>
      <vt:lpstr>Cm_max</vt:lpstr>
      <vt:lpstr>Cm_u</vt:lpstr>
      <vt:lpstr>CRA</vt:lpstr>
      <vt:lpstr>Crop</vt:lpstr>
      <vt:lpstr>planter!crv_1</vt:lpstr>
      <vt:lpstr>planter!crv_2</vt:lpstr>
      <vt:lpstr>planter!crv_3</vt:lpstr>
      <vt:lpstr>Csys_a</vt:lpstr>
      <vt:lpstr>Csys_b</vt:lpstr>
      <vt:lpstr>CT</vt:lpstr>
      <vt:lpstr>CTh</vt:lpstr>
      <vt:lpstr>'Cycle Analysis'!CTt</vt:lpstr>
      <vt:lpstr>'Integrated Model'!CTT</vt:lpstr>
      <vt:lpstr>'Tractor Cost'!Ctt</vt:lpstr>
      <vt:lpstr>CTu</vt:lpstr>
      <vt:lpstr>Cycle_Diagram_Analysis_of_System_Capacity___Efficiency</vt:lpstr>
      <vt:lpstr>'shaft sizing example'!d</vt:lpstr>
      <vt:lpstr>'Tractor Cost'!D</vt:lpstr>
      <vt:lpstr>D</vt:lpstr>
      <vt:lpstr>planter!DA</vt:lpstr>
      <vt:lpstr>planter!DB</vt:lpstr>
      <vt:lpstr>planter!DC</vt:lpstr>
      <vt:lpstr>'Tractor Cost'!DC</vt:lpstr>
      <vt:lpstr>'Integrated Model'!dd</vt:lpstr>
      <vt:lpstr>planter!delay</vt:lpstr>
      <vt:lpstr>'Integrated Model'!deltaf</vt:lpstr>
      <vt:lpstr>'Integrated Model'!deltar</vt:lpstr>
      <vt:lpstr>'Integrated Model'!df</vt:lpstr>
      <vt:lpstr>'Integrated Model'!di</vt:lpstr>
      <vt:lpstr>'Integrated Model'!dnrf</vt:lpstr>
      <vt:lpstr>'Integrated Model'!dnrr</vt:lpstr>
      <vt:lpstr>'Integrated Model'!dr</vt:lpstr>
      <vt:lpstr>'Integrated Model'!DRFT</vt:lpstr>
      <vt:lpstr>Dt</vt:lpstr>
      <vt:lpstr>E</vt:lpstr>
      <vt:lpstr>'Integrated Model'!ed</vt:lpstr>
      <vt:lpstr>Ef_h_act</vt:lpstr>
      <vt:lpstr>Ef_max</vt:lpstr>
      <vt:lpstr>'Integrated Model'!efd</vt:lpstr>
      <vt:lpstr>'Integrated Model'!efr</vt:lpstr>
      <vt:lpstr>'Integrated Model'!ENGINE</vt:lpstr>
      <vt:lpstr>'Integrated Model'!Epto</vt:lpstr>
      <vt:lpstr>'Tractor Cost'!Epto</vt:lpstr>
      <vt:lpstr>'Integrated Model'!erdraft</vt:lpstr>
      <vt:lpstr>'Integrated Model'!erpull</vt:lpstr>
      <vt:lpstr>'Integrated Model'!ERRORS</vt:lpstr>
      <vt:lpstr>errtq</vt:lpstr>
      <vt:lpstr>'Integrated Model'!erspd</vt:lpstr>
      <vt:lpstr>'Integrated Model'!ertot</vt:lpstr>
      <vt:lpstr>'Integrated Model'!et</vt:lpstr>
      <vt:lpstr>Et</vt:lpstr>
      <vt:lpstr>'Integrated Model'!etaf</vt:lpstr>
      <vt:lpstr>'Integrated Model'!etar</vt:lpstr>
      <vt:lpstr>EXAMPLE_OF_GOOD_SPREADSHEET_FORMAT_FOR_PROBLEM_SOLVING</vt:lpstr>
      <vt:lpstr>'Tractor Cost'!F</vt:lpstr>
      <vt:lpstr>'Integrated Model'!FC</vt:lpstr>
      <vt:lpstr>'Tractor Cost'!FC</vt:lpstr>
      <vt:lpstr>FC</vt:lpstr>
      <vt:lpstr>Fixed_Frame</vt:lpstr>
      <vt:lpstr>'Tractor Cost'!FLC</vt:lpstr>
      <vt:lpstr>FPA</vt:lpstr>
      <vt:lpstr>'Integrated Model'!FRONT_AXLE</vt:lpstr>
      <vt:lpstr>planter!Fs</vt:lpstr>
      <vt:lpstr>FS</vt:lpstr>
      <vt:lpstr>planter!FUEL</vt:lpstr>
      <vt:lpstr>'Integrated Model'!g</vt:lpstr>
      <vt:lpstr>G</vt:lpstr>
      <vt:lpstr>goodtable</vt:lpstr>
      <vt:lpstr>planter!GT</vt:lpstr>
      <vt:lpstr>planter!GT2_</vt:lpstr>
      <vt:lpstr>'Integrated Model'!GUESSES_FOR_ITERATION</vt:lpstr>
      <vt:lpstr>'Integrated Model'!h</vt:lpstr>
      <vt:lpstr>'Tractor Cost'!H</vt:lpstr>
      <vt:lpstr>H</vt:lpstr>
      <vt:lpstr>Harvester</vt:lpstr>
      <vt:lpstr>'Tractor Cost'!HCnf</vt:lpstr>
      <vt:lpstr>'Tractor Cost'!HCtot</vt:lpstr>
      <vt:lpstr>'Integrated Model'!hf</vt:lpstr>
      <vt:lpstr>'Integrated Model'!hr</vt:lpstr>
      <vt:lpstr>planter!Htr</vt:lpstr>
      <vt:lpstr>'Integrated Model'!i</vt:lpstr>
      <vt:lpstr>'Tractor Cost'!i</vt:lpstr>
      <vt:lpstr>I</vt:lpstr>
      <vt:lpstr>'Integrated Model'!idp1_</vt:lpstr>
      <vt:lpstr>'Integrated Model'!idp2_</vt:lpstr>
      <vt:lpstr>'Integrated Model'!idp3_</vt:lpstr>
      <vt:lpstr>Iht</vt:lpstr>
      <vt:lpstr>'Integrated Model'!IMPLEMENT</vt:lpstr>
      <vt:lpstr>imt</vt:lpstr>
      <vt:lpstr>planter!INPUT</vt:lpstr>
      <vt:lpstr>'Cycle Analysis'!INPUTS</vt:lpstr>
      <vt:lpstr>'Integrated Model'!INPUTS</vt:lpstr>
      <vt:lpstr>'shaft sizing example'!INPUTS</vt:lpstr>
      <vt:lpstr>planter!INTERMEDIATE</vt:lpstr>
      <vt:lpstr>'Tractor Cost'!Intermediate</vt:lpstr>
      <vt:lpstr>'Integrated Model'!INTERMEDIATE_CALCULATIONS____not_requiring_iteration</vt:lpstr>
      <vt:lpstr>'Integrated Model'!INTERMEDIATE_CALCULATIONS____utilizing_iteration</vt:lpstr>
      <vt:lpstr>'Cycle Analysis'!INTERMEDIATE_COMPUTATIONS</vt:lpstr>
      <vt:lpstr>INTERMEDIATE_COMPUTATIONS</vt:lpstr>
      <vt:lpstr>planter!INVEST</vt:lpstr>
      <vt:lpstr>'Integrated Model'!j</vt:lpstr>
      <vt:lpstr>planter!K</vt:lpstr>
      <vt:lpstr>Km</vt:lpstr>
      <vt:lpstr>Kt</vt:lpstr>
      <vt:lpstr>'Tractor Cost'!L</vt:lpstr>
      <vt:lpstr>L</vt:lpstr>
      <vt:lpstr>planter!LABOR</vt:lpstr>
      <vt:lpstr>'Tractor Cost'!LC</vt:lpstr>
      <vt:lpstr>Li</vt:lpstr>
      <vt:lpstr>Lt</vt:lpstr>
      <vt:lpstr>Lu</vt:lpstr>
      <vt:lpstr>'shaft sizing example'!M</vt:lpstr>
      <vt:lpstr>m</vt:lpstr>
      <vt:lpstr>'Integrated Model'!meng</vt:lpstr>
      <vt:lpstr>'Integrated Model'!mugf</vt:lpstr>
      <vt:lpstr>'Integrated Model'!mugr</vt:lpstr>
      <vt:lpstr>'Integrated Model'!munf</vt:lpstr>
      <vt:lpstr>'Integrated Model'!munr</vt:lpstr>
      <vt:lpstr>'Integrated Model'!Neng1</vt:lpstr>
      <vt:lpstr>'Integrated Model'!Neng2</vt:lpstr>
      <vt:lpstr>'Integrated Model'!Nfax</vt:lpstr>
      <vt:lpstr>Ngh</vt:lpstr>
      <vt:lpstr>'Integrated Model'!Nhi</vt:lpstr>
      <vt:lpstr>Nij</vt:lpstr>
      <vt:lpstr>'Integrated Model'!Nli</vt:lpstr>
      <vt:lpstr>'Integrated Model'!Nls</vt:lpstr>
      <vt:lpstr>Nmb</vt:lpstr>
      <vt:lpstr>'Integrated Model'!Nmt</vt:lpstr>
      <vt:lpstr>'Integrated Model'!Nr</vt:lpstr>
      <vt:lpstr>'Integrated Model'!Nrax</vt:lpstr>
      <vt:lpstr>'Integrated Model'!Nred</vt:lpstr>
      <vt:lpstr>Nt</vt:lpstr>
      <vt:lpstr>planter!Ny</vt:lpstr>
      <vt:lpstr>'Tractor Cost'!Ny</vt:lpstr>
      <vt:lpstr>planter!Nytr</vt:lpstr>
      <vt:lpstr>planter!OUTPUT</vt:lpstr>
      <vt:lpstr>'Tractor Cost'!Output</vt:lpstr>
      <vt:lpstr>'Cycle Analysis'!OUTPUTS</vt:lpstr>
      <vt:lpstr>'shaft sizing example'!OUTPUTS</vt:lpstr>
      <vt:lpstr>'Tractor Cost'!P</vt:lpstr>
      <vt:lpstr>P</vt:lpstr>
      <vt:lpstr>Pax</vt:lpstr>
      <vt:lpstr>'Tractor Cost'!Pd</vt:lpstr>
      <vt:lpstr>planter!Pdb</vt:lpstr>
      <vt:lpstr>'Integrated Model'!Peng</vt:lpstr>
      <vt:lpstr>'Tractor Cost'!Pf</vt:lpstr>
      <vt:lpstr>planter!Pfuel</vt:lpstr>
      <vt:lpstr>Php</vt:lpstr>
      <vt:lpstr>Phppto</vt:lpstr>
      <vt:lpstr>'Tractor Cost'!PL</vt:lpstr>
      <vt:lpstr>planter!Plab</vt:lpstr>
      <vt:lpstr>planter!Pmach</vt:lpstr>
      <vt:lpstr>POWER_TRANSMISSION_SHAFT_SIZING</vt:lpstr>
      <vt:lpstr>'Tractor Cost'!Pp</vt:lpstr>
      <vt:lpstr>'Integrated Model'!Ppto</vt:lpstr>
      <vt:lpstr>Pr</vt:lpstr>
      <vt:lpstr>'Integrated Model'!Preng</vt:lpstr>
      <vt:lpstr>'Cycle Analysis'!Print_Area</vt:lpstr>
      <vt:lpstr>'Integrated Model'!Print_Area</vt:lpstr>
      <vt:lpstr>planter!Pt</vt:lpstr>
      <vt:lpstr>'Tractor Cost'!PTM</vt:lpstr>
      <vt:lpstr>planter!Ptra</vt:lpstr>
      <vt:lpstr>'Integrated Model'!pulle</vt:lpstr>
      <vt:lpstr>'Integrated Model'!pullf</vt:lpstr>
      <vt:lpstr>'Integrated Model'!pullr</vt:lpstr>
      <vt:lpstr>'Integrated Model'!pullt</vt:lpstr>
      <vt:lpstr>'Integrated Model'!pullv</vt:lpstr>
      <vt:lpstr>'Tractor Cost'!PV</vt:lpstr>
      <vt:lpstr>planter!Pvsalv</vt:lpstr>
      <vt:lpstr>planter!pwd</vt:lpstr>
      <vt:lpstr>planter!R_M_Cost_Table__an_intermediate_thing__but_space_consuming</vt:lpstr>
      <vt:lpstr>'Integrated Model'!raf</vt:lpstr>
      <vt:lpstr>'Integrated Model'!rar</vt:lpstr>
      <vt:lpstr>'Integrated Model'!REAR_AXLE</vt:lpstr>
      <vt:lpstr>REPEATED_SOLUTIONS_TO_THE_SAME_PROBLEM_VIA_DATA_TABLE</vt:lpstr>
      <vt:lpstr>planter!reserve</vt:lpstr>
      <vt:lpstr>'Integrated Model'!rf</vt:lpstr>
      <vt:lpstr>'Integrated Model'!rfo</vt:lpstr>
      <vt:lpstr>'Integrated Model'!rhof</vt:lpstr>
      <vt:lpstr>'Integrated Model'!rhor</vt:lpstr>
      <vt:lpstr>'Integrated Model'!rlf</vt:lpstr>
      <vt:lpstr>'Integrated Model'!rlr</vt:lpstr>
      <vt:lpstr>planter!RM</vt:lpstr>
      <vt:lpstr>'Tractor Cost'!RM</vt:lpstr>
      <vt:lpstr>planter!RPF_1</vt:lpstr>
      <vt:lpstr>planter!RPF_2</vt:lpstr>
      <vt:lpstr>'Integrated Model'!rr</vt:lpstr>
      <vt:lpstr>'Integrated Model'!rro</vt:lpstr>
      <vt:lpstr>planter!RV</vt:lpstr>
      <vt:lpstr>'Tractor Cost'!RV</vt:lpstr>
      <vt:lpstr>planter!S</vt:lpstr>
      <vt:lpstr>'shaft sizing example'!S</vt:lpstr>
      <vt:lpstr>S</vt:lpstr>
      <vt:lpstr>planter!Salv</vt:lpstr>
      <vt:lpstr>SCnf</vt:lpstr>
      <vt:lpstr>SCtot</vt:lpstr>
      <vt:lpstr>'Integrated Model'!sdp</vt:lpstr>
      <vt:lpstr>'Integrated Model'!SFC</vt:lpstr>
      <vt:lpstr>SFC</vt:lpstr>
      <vt:lpstr>shocktable</vt:lpstr>
      <vt:lpstr>'Integrated Model'!sl</vt:lpstr>
      <vt:lpstr>'Integrated Model'!slf</vt:lpstr>
      <vt:lpstr>'Tractor Cost'!Sp</vt:lpstr>
      <vt:lpstr>'Integrated Model'!srd</vt:lpstr>
      <vt:lpstr>'Integrated Model'!srfd</vt:lpstr>
      <vt:lpstr>'Integrated Model'!srfr</vt:lpstr>
      <vt:lpstr>'Integrated Model'!srt</vt:lpstr>
      <vt:lpstr>St</vt:lpstr>
      <vt:lpstr>'Tractor Cost'!SV</vt:lpstr>
      <vt:lpstr>'Cycle Analysis'!T</vt:lpstr>
      <vt:lpstr>planter!T</vt:lpstr>
      <vt:lpstr>T</vt:lpstr>
      <vt:lpstr>'Integrated Model'!tc_1</vt:lpstr>
      <vt:lpstr>'Integrated Model'!tc_2</vt:lpstr>
      <vt:lpstr>'Integrated Model'!tc_3</vt:lpstr>
      <vt:lpstr>'Integrated Model'!tc_4</vt:lpstr>
      <vt:lpstr>'Integrated Model'!tc_5</vt:lpstr>
      <vt:lpstr>'Integrated Model'!tc_6</vt:lpstr>
      <vt:lpstr>TE</vt:lpstr>
      <vt:lpstr>'Integrated Model'!Teng</vt:lpstr>
      <vt:lpstr>tfa</vt:lpstr>
      <vt:lpstr>'Integrated Model'!Tfax</vt:lpstr>
      <vt:lpstr>planter!TFC</vt:lpstr>
      <vt:lpstr>tfp</vt:lpstr>
      <vt:lpstr>'Integrated Model'!theta</vt:lpstr>
      <vt:lpstr>Tht_a</vt:lpstr>
      <vt:lpstr>Tht_h</vt:lpstr>
      <vt:lpstr>Tht_t</vt:lpstr>
      <vt:lpstr>planter!TI</vt:lpstr>
      <vt:lpstr>Ti_h</vt:lpstr>
      <vt:lpstr>Ti_t</vt:lpstr>
      <vt:lpstr>Ti_u</vt:lpstr>
      <vt:lpstr>'Tractor Cost'!TIH</vt:lpstr>
      <vt:lpstr>'Tractor Cost'!TIHa</vt:lpstr>
      <vt:lpstr>planter!TIME</vt:lpstr>
      <vt:lpstr>planter!Tipct</vt:lpstr>
      <vt:lpstr>tires</vt:lpstr>
      <vt:lpstr>'Integrated Model'!tk_1</vt:lpstr>
      <vt:lpstr>'Integrated Model'!tk_2</vt:lpstr>
      <vt:lpstr>'Integrated Model'!tk_3</vt:lpstr>
      <vt:lpstr>'Integrated Model'!Tmli</vt:lpstr>
      <vt:lpstr>'Integrated Model'!Tmls</vt:lpstr>
      <vt:lpstr>'Integrated Model'!Tmx</vt:lpstr>
      <vt:lpstr>tra</vt:lpstr>
      <vt:lpstr>Track</vt:lpstr>
      <vt:lpstr>planter!TRACT</vt:lpstr>
      <vt:lpstr>'Integrated Model'!TRACTION___TRANSMISSION</vt:lpstr>
      <vt:lpstr>'Integrated Model'!TRACTOR</vt:lpstr>
      <vt:lpstr>'Integrated Model'!TRANSMISSION</vt:lpstr>
      <vt:lpstr>Transport</vt:lpstr>
      <vt:lpstr>'Integrated Model'!Trax</vt:lpstr>
      <vt:lpstr>'Integrated Model'!Treng</vt:lpstr>
      <vt:lpstr>TRh</vt:lpstr>
      <vt:lpstr>'Integrated Model'!Trise</vt:lpstr>
      <vt:lpstr>'Integrated Model'!ts</vt:lpstr>
      <vt:lpstr>'Ballast tool demo done'!tt</vt:lpstr>
      <vt:lpstr>Tt</vt:lpstr>
      <vt:lpstr>Ttu_a</vt:lpstr>
      <vt:lpstr>Ttu_u</vt:lpstr>
      <vt:lpstr>ttw</vt:lpstr>
      <vt:lpstr>Uh</vt:lpstr>
      <vt:lpstr>UL</vt:lpstr>
      <vt:lpstr>Unloader</vt:lpstr>
      <vt:lpstr>Uta</vt:lpstr>
      <vt:lpstr>Utb</vt:lpstr>
      <vt:lpstr>Uua</vt:lpstr>
      <vt:lpstr>Uub</vt:lpstr>
      <vt:lpstr>planter!V</vt:lpstr>
      <vt:lpstr>'Integrated Model'!Va</vt:lpstr>
      <vt:lpstr>Vc</vt:lpstr>
      <vt:lpstr>Vh</vt:lpstr>
      <vt:lpstr>'Cycle Analysis'!Vt</vt:lpstr>
      <vt:lpstr>'Integrated Model'!Vt</vt:lpstr>
      <vt:lpstr>planter!W</vt:lpstr>
      <vt:lpstr>'Integrated Model'!wb</vt:lpstr>
      <vt:lpstr>'Integrated Model'!wi</vt:lpstr>
      <vt:lpstr>planter!Wper</vt:lpstr>
      <vt:lpstr>wpr</vt:lpstr>
      <vt:lpstr>planter!Wuse</vt:lpstr>
      <vt:lpstr>'Integrated Model'!X</vt:lpstr>
      <vt:lpstr>'Integrated Model'!Xcg</vt:lpstr>
      <vt:lpstr>'Integrated Model'!Xdb</vt:lpstr>
      <vt:lpstr>'Cycle Analysis'!Y</vt:lpstr>
      <vt:lpstr>planter!Y</vt:lpstr>
      <vt:lpstr>'Integrated Model'!Ydb</vt:lpstr>
      <vt:lpstr>planter!Year</vt:lpstr>
      <vt:lpstr>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Buckmaster, Dennis</dc:creator>
  <cp:lastModifiedBy>Buckmaster, Dennis</cp:lastModifiedBy>
  <cp:lastPrinted>2020-03-06T21:15:23Z</cp:lastPrinted>
  <dcterms:created xsi:type="dcterms:W3CDTF">2020-03-06T21:02:14Z</dcterms:created>
  <dcterms:modified xsi:type="dcterms:W3CDTF">2020-11-12T13:35:12Z</dcterms:modified>
</cp:coreProperties>
</file>